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D90EB4C-1B15-47DE-A81C-EB0AF82B9AC2}" xr6:coauthVersionLast="47" xr6:coauthVersionMax="47" xr10:uidLastSave="{00000000-0000-0000-0000-000000000000}"/>
  <bookViews>
    <workbookView xWindow="-120" yWindow="-120" windowWidth="29040" windowHeight="17520" xr2:uid="{F15B7BA8-7CCF-4912-B6CC-2470F37FF660}"/>
  </bookViews>
  <sheets>
    <sheet name="Титульный" sheetId="10" r:id="rId1"/>
    <sheet name="Лайфхаки" sheetId="9" r:id="rId2"/>
    <sheet name="Сочетания клавиш" sheetId="11" r:id="rId3"/>
    <sheet name="Затратный" sheetId="8" r:id="rId4"/>
    <sheet name="Сравнительный" sheetId="7" r:id="rId5"/>
    <sheet name="Доходный" sheetId="1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4" i="7" l="1"/>
  <c r="E134" i="7"/>
  <c r="F134" i="7"/>
  <c r="C113" i="8"/>
  <c r="D118" i="1"/>
  <c r="D411" i="7"/>
  <c r="C411" i="7"/>
  <c r="D299" i="1"/>
  <c r="G30" i="11"/>
  <c r="F30" i="11"/>
  <c r="E30" i="11"/>
  <c r="C534" i="1" l="1"/>
  <c r="F518" i="1"/>
  <c r="E518" i="1"/>
  <c r="D518" i="1"/>
  <c r="C518" i="1"/>
  <c r="F511" i="1"/>
  <c r="F513" i="1" s="1"/>
  <c r="E511" i="1"/>
  <c r="E513" i="1" s="1"/>
  <c r="D511" i="1"/>
  <c r="D513" i="1" s="1"/>
  <c r="C511" i="1"/>
  <c r="C513" i="1" s="1"/>
  <c r="C500" i="1"/>
  <c r="C499" i="1"/>
  <c r="F481" i="1"/>
  <c r="F483" i="1" s="1"/>
  <c r="F485" i="1" s="1"/>
  <c r="F487" i="1"/>
  <c r="E487" i="1"/>
  <c r="D487" i="1"/>
  <c r="C487" i="1"/>
  <c r="D485" i="1"/>
  <c r="C485" i="1"/>
  <c r="E481" i="1"/>
  <c r="E483" i="1" s="1"/>
  <c r="E485" i="1" s="1"/>
  <c r="F464" i="1"/>
  <c r="E464" i="1"/>
  <c r="D464" i="1"/>
  <c r="C464" i="1"/>
  <c r="F467" i="1"/>
  <c r="E467" i="1"/>
  <c r="D467" i="1"/>
  <c r="C467" i="1"/>
  <c r="F460" i="1"/>
  <c r="F462" i="1" s="1"/>
  <c r="E460" i="1"/>
  <c r="E462" i="1" s="1"/>
  <c r="D460" i="1"/>
  <c r="C460" i="1"/>
  <c r="C462" i="1" s="1"/>
  <c r="C451" i="1"/>
  <c r="C440" i="1"/>
  <c r="C441" i="1" s="1"/>
  <c r="C442" i="1" s="1"/>
  <c r="F428" i="1"/>
  <c r="E428" i="1"/>
  <c r="D428" i="1"/>
  <c r="C428" i="1"/>
  <c r="F426" i="1"/>
  <c r="E424" i="1"/>
  <c r="E426" i="1" s="1"/>
  <c r="D421" i="1"/>
  <c r="D426" i="1" s="1"/>
  <c r="C421" i="1"/>
  <c r="C426" i="1" s="1"/>
  <c r="D242" i="1"/>
  <c r="C473" i="7"/>
  <c r="E464" i="7"/>
  <c r="D464" i="7"/>
  <c r="C464" i="7" s="1"/>
  <c r="C465" i="7" s="1"/>
  <c r="C372" i="8"/>
  <c r="C373" i="8" s="1"/>
  <c r="C361" i="8"/>
  <c r="C362" i="8" s="1"/>
  <c r="C411" i="1"/>
  <c r="C412" i="1" s="1"/>
  <c r="C413" i="1" s="1"/>
  <c r="C414" i="1" s="1"/>
  <c r="C415" i="1" s="1"/>
  <c r="E398" i="1"/>
  <c r="E400" i="1" s="1"/>
  <c r="D398" i="1"/>
  <c r="D400" i="1" s="1"/>
  <c r="C398" i="1"/>
  <c r="C400" i="1" s="1"/>
  <c r="C266" i="1"/>
  <c r="C267" i="1" s="1"/>
  <c r="C268" i="1" s="1"/>
  <c r="C269" i="1" s="1"/>
  <c r="C254" i="1"/>
  <c r="C255" i="1" s="1"/>
  <c r="C245" i="1"/>
  <c r="C234" i="1"/>
  <c r="C235" i="1" s="1"/>
  <c r="E219" i="1"/>
  <c r="D219" i="1"/>
  <c r="C219" i="1"/>
  <c r="C188" i="1"/>
  <c r="C186" i="1"/>
  <c r="C187" i="1" s="1"/>
  <c r="C173" i="1"/>
  <c r="C174" i="1" s="1"/>
  <c r="C160" i="1"/>
  <c r="C161" i="1" s="1"/>
  <c r="C148" i="1"/>
  <c r="C107" i="1"/>
  <c r="C79" i="1"/>
  <c r="C78" i="1"/>
  <c r="C55" i="1"/>
  <c r="C56" i="1" s="1"/>
  <c r="C20" i="1"/>
  <c r="C18" i="1"/>
  <c r="C19" i="1" s="1"/>
  <c r="C6" i="1"/>
  <c r="C211" i="1"/>
  <c r="C133" i="8"/>
  <c r="E170" i="7"/>
  <c r="G170" i="7" s="1"/>
  <c r="F366" i="1"/>
  <c r="F197" i="1"/>
  <c r="C121" i="1"/>
  <c r="C21" i="1" l="1"/>
  <c r="C401" i="1"/>
  <c r="E515" i="1"/>
  <c r="F515" i="1"/>
  <c r="C501" i="1"/>
  <c r="C502" i="1" s="1"/>
  <c r="F516" i="1"/>
  <c r="F519" i="1" s="1"/>
  <c r="F521" i="1" s="1"/>
  <c r="F523" i="1" s="1"/>
  <c r="C515" i="1"/>
  <c r="C516" i="1" s="1"/>
  <c r="C519" i="1" s="1"/>
  <c r="C523" i="1" s="1"/>
  <c r="F488" i="1"/>
  <c r="F489" i="1" s="1"/>
  <c r="D515" i="1"/>
  <c r="D516" i="1" s="1"/>
  <c r="D519" i="1" s="1"/>
  <c r="D523" i="1" s="1"/>
  <c r="E516" i="1"/>
  <c r="E519" i="1" s="1"/>
  <c r="E523" i="1" s="1"/>
  <c r="E429" i="1"/>
  <c r="F429" i="1" s="1"/>
  <c r="F430" i="1" s="1"/>
  <c r="C489" i="1"/>
  <c r="D488" i="1"/>
  <c r="E430" i="1"/>
  <c r="C429" i="1"/>
  <c r="C430" i="1" s="1"/>
  <c r="D429" i="1"/>
  <c r="D430" i="1" s="1"/>
  <c r="E465" i="1"/>
  <c r="E468" i="1" s="1"/>
  <c r="E472" i="1" s="1"/>
  <c r="F465" i="1"/>
  <c r="F468" i="1" s="1"/>
  <c r="F470" i="1" s="1"/>
  <c r="F472" i="1" s="1"/>
  <c r="C465" i="1"/>
  <c r="C468" i="1" s="1"/>
  <c r="C472" i="1" s="1"/>
  <c r="D462" i="1"/>
  <c r="D465" i="1" s="1"/>
  <c r="D468" i="1" s="1"/>
  <c r="D472" i="1" s="1"/>
  <c r="C220" i="1"/>
  <c r="C221" i="1" s="1"/>
  <c r="C189" i="1"/>
  <c r="C80" i="1"/>
  <c r="C22" i="1"/>
  <c r="C40" i="8"/>
  <c r="C25" i="8"/>
  <c r="I387" i="7"/>
  <c r="I386" i="7" s="1"/>
  <c r="G523" i="1" l="1"/>
  <c r="D489" i="1"/>
  <c r="E488" i="1"/>
  <c r="E489" i="1" s="1"/>
  <c r="G489" i="1" s="1"/>
  <c r="G430" i="1"/>
  <c r="G472" i="1"/>
  <c r="C254" i="7"/>
  <c r="D255" i="7" s="1"/>
  <c r="C251" i="7"/>
  <c r="D252" i="7" s="1"/>
  <c r="D248" i="7"/>
  <c r="D249" i="7" s="1"/>
  <c r="I121" i="7"/>
  <c r="I120" i="7"/>
  <c r="I128" i="7"/>
  <c r="I127" i="7" s="1"/>
  <c r="D256" i="7" l="1"/>
  <c r="D257" i="7" s="1"/>
  <c r="C319" i="8"/>
  <c r="C198" i="8"/>
  <c r="C69" i="8"/>
  <c r="C70" i="8" s="1"/>
  <c r="C56" i="7"/>
  <c r="C57" i="7" s="1"/>
  <c r="E96" i="7" l="1"/>
  <c r="E97" i="7"/>
  <c r="E382" i="1"/>
  <c r="E385" i="1" s="1"/>
  <c r="E387" i="1"/>
  <c r="D387" i="1"/>
  <c r="C387" i="1"/>
  <c r="F385" i="1"/>
  <c r="D378" i="1"/>
  <c r="D385" i="1" s="1"/>
  <c r="C378" i="1"/>
  <c r="C385" i="1" s="1"/>
  <c r="D359" i="1"/>
  <c r="D366" i="1" s="1"/>
  <c r="C359" i="1"/>
  <c r="C366" i="1" s="1"/>
  <c r="E368" i="1"/>
  <c r="D368" i="1"/>
  <c r="C368" i="1"/>
  <c r="E363" i="1"/>
  <c r="E366" i="1" s="1"/>
  <c r="C311" i="1"/>
  <c r="C305" i="1"/>
  <c r="C306" i="1"/>
  <c r="C304" i="1"/>
  <c r="E286" i="1"/>
  <c r="D286" i="1"/>
  <c r="C286" i="1"/>
  <c r="D284" i="1"/>
  <c r="C284" i="1"/>
  <c r="F281" i="1"/>
  <c r="F283" i="1" s="1"/>
  <c r="F284" i="1" s="1"/>
  <c r="E281" i="1"/>
  <c r="E284" i="1" s="1"/>
  <c r="F32" i="1"/>
  <c r="F34" i="1" s="1"/>
  <c r="E32" i="1"/>
  <c r="E34" i="1" s="1"/>
  <c r="D32" i="1"/>
  <c r="D36" i="1" s="1"/>
  <c r="C32" i="1"/>
  <c r="C36" i="1" s="1"/>
  <c r="F39" i="1"/>
  <c r="E39" i="1"/>
  <c r="D39" i="1"/>
  <c r="C39" i="1"/>
  <c r="E438" i="7"/>
  <c r="E440" i="7" s="1"/>
  <c r="E442" i="7" s="1"/>
  <c r="D438" i="7"/>
  <c r="D440" i="7" s="1"/>
  <c r="D442" i="7" s="1"/>
  <c r="C412" i="7"/>
  <c r="E389" i="7"/>
  <c r="D386" i="7"/>
  <c r="D383" i="7"/>
  <c r="F380" i="7"/>
  <c r="F377" i="7"/>
  <c r="C315" i="7"/>
  <c r="D290" i="7"/>
  <c r="C290" i="7"/>
  <c r="D279" i="7"/>
  <c r="C280" i="7" s="1"/>
  <c r="C281" i="7" s="1"/>
  <c r="D282" i="7" s="1"/>
  <c r="C268" i="7"/>
  <c r="D269" i="7" s="1"/>
  <c r="D270" i="7" s="1"/>
  <c r="D271" i="7" s="1"/>
  <c r="E388" i="1" l="1"/>
  <c r="F388" i="1" s="1"/>
  <c r="F389" i="1" s="1"/>
  <c r="D388" i="1"/>
  <c r="D389" i="1" s="1"/>
  <c r="C388" i="1"/>
  <c r="C389" i="1" s="1"/>
  <c r="E369" i="1"/>
  <c r="F369" i="1" s="1"/>
  <c r="F370" i="1" s="1"/>
  <c r="C369" i="1"/>
  <c r="C370" i="1" s="1"/>
  <c r="D369" i="1"/>
  <c r="D370" i="1" s="1"/>
  <c r="C307" i="1"/>
  <c r="C308" i="1" s="1"/>
  <c r="C309" i="1" s="1"/>
  <c r="C310" i="1" s="1"/>
  <c r="E287" i="1"/>
  <c r="F287" i="1" s="1"/>
  <c r="F288" i="1" s="1"/>
  <c r="C287" i="1"/>
  <c r="C288" i="1" s="1"/>
  <c r="D287" i="1"/>
  <c r="D288" i="1" s="1"/>
  <c r="F36" i="1"/>
  <c r="F37" i="1" s="1"/>
  <c r="F40" i="1" s="1"/>
  <c r="F42" i="1" s="1"/>
  <c r="F44" i="1" s="1"/>
  <c r="D34" i="1"/>
  <c r="D37" i="1" s="1"/>
  <c r="D40" i="1" s="1"/>
  <c r="D44" i="1" s="1"/>
  <c r="C34" i="1"/>
  <c r="C37" i="1" s="1"/>
  <c r="C40" i="1" s="1"/>
  <c r="C44" i="1" s="1"/>
  <c r="E36" i="1"/>
  <c r="E37" i="1" s="1"/>
  <c r="E40" i="1" s="1"/>
  <c r="E44" i="1" s="1"/>
  <c r="C443" i="7"/>
  <c r="C444" i="7" s="1"/>
  <c r="D291" i="7"/>
  <c r="C224" i="7"/>
  <c r="C223" i="7"/>
  <c r="C185" i="7"/>
  <c r="F129" i="7"/>
  <c r="F130" i="7" s="1"/>
  <c r="F127" i="7"/>
  <c r="E124" i="7"/>
  <c r="E121" i="7"/>
  <c r="E118" i="7"/>
  <c r="F115" i="7"/>
  <c r="E115" i="7"/>
  <c r="D115" i="7"/>
  <c r="D131" i="7" s="1"/>
  <c r="D133" i="7" s="1"/>
  <c r="G327" i="8"/>
  <c r="G326" i="8"/>
  <c r="C301" i="8"/>
  <c r="C300" i="8"/>
  <c r="C290" i="8"/>
  <c r="C287" i="8"/>
  <c r="C285" i="8"/>
  <c r="C286" i="8" s="1"/>
  <c r="C350" i="8"/>
  <c r="C349" i="8"/>
  <c r="C345" i="8"/>
  <c r="C346" i="8" s="1"/>
  <c r="C347" i="8" s="1"/>
  <c r="E261" i="8"/>
  <c r="E260" i="8"/>
  <c r="E259" i="8"/>
  <c r="C264" i="8"/>
  <c r="C249" i="8"/>
  <c r="C250" i="8" s="1"/>
  <c r="C247" i="8"/>
  <c r="C248" i="8" s="1"/>
  <c r="C242" i="8"/>
  <c r="C184" i="8"/>
  <c r="C185" i="8" s="1"/>
  <c r="C182" i="8"/>
  <c r="C179" i="8"/>
  <c r="C180" i="8" s="1"/>
  <c r="C181" i="8" s="1"/>
  <c r="C163" i="8"/>
  <c r="C164" i="8" s="1"/>
  <c r="C161" i="8"/>
  <c r="C162" i="8" s="1"/>
  <c r="C147" i="8"/>
  <c r="C148" i="8" s="1"/>
  <c r="C134" i="8"/>
  <c r="C131" i="8"/>
  <c r="C128" i="8"/>
  <c r="C105" i="8"/>
  <c r="C106" i="8" s="1"/>
  <c r="C95" i="8"/>
  <c r="C92" i="8"/>
  <c r="C90" i="8"/>
  <c r="C91" i="8" s="1"/>
  <c r="C55" i="8"/>
  <c r="C56" i="8" s="1"/>
  <c r="G48" i="8"/>
  <c r="G47" i="8"/>
  <c r="F48" i="8"/>
  <c r="F47" i="8"/>
  <c r="C37" i="8"/>
  <c r="C38" i="8" s="1"/>
  <c r="C39" i="8" s="1"/>
  <c r="C41" i="8" s="1"/>
  <c r="C14" i="8"/>
  <c r="C15" i="8" s="1"/>
  <c r="C12" i="8"/>
  <c r="C13" i="8" s="1"/>
  <c r="F393" i="7"/>
  <c r="E393" i="7"/>
  <c r="D393" i="7"/>
  <c r="F374" i="7"/>
  <c r="E374" i="7"/>
  <c r="D374" i="7"/>
  <c r="D390" i="7" s="1"/>
  <c r="D392" i="7" s="1"/>
  <c r="C16" i="8" l="1"/>
  <c r="E389" i="1"/>
  <c r="C390" i="1" s="1"/>
  <c r="H327" i="8"/>
  <c r="C326" i="8" s="1"/>
  <c r="C329" i="8" s="1"/>
  <c r="E370" i="1"/>
  <c r="C371" i="1" s="1"/>
  <c r="C312" i="1"/>
  <c r="C313" i="1" s="1"/>
  <c r="C314" i="1" s="1"/>
  <c r="C315" i="1" s="1"/>
  <c r="C316" i="1" s="1"/>
  <c r="E288" i="1"/>
  <c r="C289" i="1" s="1"/>
  <c r="G44" i="1"/>
  <c r="C225" i="7"/>
  <c r="C226" i="7" s="1"/>
  <c r="E131" i="7"/>
  <c r="E133" i="7" s="1"/>
  <c r="E135" i="7" s="1"/>
  <c r="F131" i="7"/>
  <c r="F133" i="7" s="1"/>
  <c r="F135" i="7" s="1"/>
  <c r="D135" i="7"/>
  <c r="F390" i="7"/>
  <c r="F392" i="7" s="1"/>
  <c r="F394" i="7" s="1"/>
  <c r="E390" i="7"/>
  <c r="E392" i="7" s="1"/>
  <c r="E394" i="7" s="1"/>
  <c r="C351" i="8"/>
  <c r="C352" i="8" s="1"/>
  <c r="C288" i="8"/>
  <c r="C289" i="8" s="1"/>
  <c r="C291" i="8" s="1"/>
  <c r="C292" i="8" s="1"/>
  <c r="C307" i="8" s="1"/>
  <c r="C308" i="8" s="1"/>
  <c r="E264" i="8"/>
  <c r="F261" i="8" s="1"/>
  <c r="C251" i="8"/>
  <c r="C252" i="8" s="1"/>
  <c r="C183" i="8"/>
  <c r="C165" i="8"/>
  <c r="C129" i="8"/>
  <c r="C130" i="8"/>
  <c r="C93" i="8"/>
  <c r="C94" i="8" s="1"/>
  <c r="C96" i="8" s="1"/>
  <c r="C97" i="8" s="1"/>
  <c r="C112" i="8" s="1"/>
  <c r="G49" i="8"/>
  <c r="F49" i="8"/>
  <c r="C50" i="8" s="1"/>
  <c r="C52" i="8" s="1"/>
  <c r="C57" i="8" s="1"/>
  <c r="D394" i="7"/>
  <c r="C139" i="7" l="1"/>
  <c r="C141" i="7" s="1"/>
  <c r="C142" i="7" s="1"/>
  <c r="G389" i="1"/>
  <c r="C398" i="7"/>
  <c r="C400" i="7" s="1"/>
  <c r="C401" i="7" s="1"/>
  <c r="C394" i="7"/>
  <c r="C137" i="7"/>
  <c r="C135" i="7"/>
  <c r="C396" i="7"/>
  <c r="F259" i="8"/>
  <c r="F260" i="8"/>
  <c r="C186" i="8"/>
  <c r="C187" i="8" s="1"/>
  <c r="C132" i="8"/>
  <c r="E454" i="7"/>
  <c r="D454" i="7"/>
  <c r="E455" i="7"/>
  <c r="D455" i="7"/>
  <c r="C455" i="7"/>
  <c r="E301" i="7"/>
  <c r="E300" i="7"/>
  <c r="E299" i="7"/>
  <c r="E303" i="7" s="1"/>
  <c r="C303" i="7" s="1"/>
  <c r="E456" i="7" l="1"/>
  <c r="E457" i="7" s="1"/>
  <c r="F264" i="8"/>
  <c r="C135" i="8"/>
  <c r="C136" i="8" s="1"/>
  <c r="D456" i="7"/>
  <c r="D457" i="7" s="1"/>
  <c r="C240" i="7"/>
  <c r="D241" i="7" s="1"/>
  <c r="C237" i="7"/>
  <c r="D238" i="7" s="1"/>
  <c r="D234" i="7"/>
  <c r="D235" i="7" s="1"/>
  <c r="D242" i="7" s="1"/>
  <c r="E204" i="7"/>
  <c r="E206" i="7" s="1"/>
  <c r="E208" i="7" s="1"/>
  <c r="D204" i="7"/>
  <c r="D206" i="7" s="1"/>
  <c r="D208" i="7" s="1"/>
  <c r="E172" i="7"/>
  <c r="E171" i="7"/>
  <c r="C155" i="7"/>
  <c r="C156" i="7" s="1"/>
  <c r="C157" i="7" s="1"/>
  <c r="C159" i="7" s="1"/>
  <c r="C46" i="7"/>
  <c r="C36" i="7"/>
  <c r="C35" i="7"/>
  <c r="C21" i="7"/>
  <c r="C22" i="7" s="1"/>
  <c r="C10" i="7"/>
  <c r="C11" i="7" s="1"/>
  <c r="C208" i="7" l="1"/>
  <c r="E175" i="7"/>
  <c r="C458" i="7"/>
  <c r="C459" i="7" s="1"/>
  <c r="C210" i="7"/>
  <c r="C211" i="7" s="1"/>
  <c r="C38" i="7"/>
  <c r="E173" i="7"/>
  <c r="C37" i="7"/>
  <c r="F345" i="1"/>
  <c r="E345" i="1"/>
  <c r="D345" i="1"/>
  <c r="C345" i="1"/>
  <c r="F335" i="1"/>
  <c r="E335" i="1"/>
  <c r="E337" i="1" s="1"/>
  <c r="D335" i="1"/>
  <c r="D337" i="1" s="1"/>
  <c r="C335" i="1"/>
  <c r="F327" i="1"/>
  <c r="F331" i="1" s="1"/>
  <c r="E327" i="1"/>
  <c r="E331" i="1" s="1"/>
  <c r="D327" i="1"/>
  <c r="D331" i="1" s="1"/>
  <c r="C327" i="1"/>
  <c r="C331" i="1" s="1"/>
  <c r="F202" i="1"/>
  <c r="F204" i="1" s="1"/>
  <c r="F206" i="1" s="1"/>
  <c r="F207" i="1" s="1"/>
  <c r="E202" i="1"/>
  <c r="E207" i="1" s="1"/>
  <c r="D202" i="1"/>
  <c r="D207" i="1" s="1"/>
  <c r="C202" i="1"/>
  <c r="C207" i="1" s="1"/>
  <c r="E199" i="1"/>
  <c r="D199" i="1"/>
  <c r="C199" i="1"/>
  <c r="E197" i="1"/>
  <c r="D197" i="1"/>
  <c r="C197" i="1"/>
  <c r="H129" i="1"/>
  <c r="I129" i="1" s="1"/>
  <c r="G129" i="1"/>
  <c r="F129" i="1"/>
  <c r="E129" i="1"/>
  <c r="D129" i="1"/>
  <c r="C129" i="1"/>
  <c r="I126" i="1" l="1"/>
  <c r="I127" i="1" s="1"/>
  <c r="I130" i="1" s="1"/>
  <c r="C136" i="1"/>
  <c r="C137" i="1" s="1"/>
  <c r="C138" i="1" s="1"/>
  <c r="D341" i="1"/>
  <c r="D339" i="1"/>
  <c r="E339" i="1"/>
  <c r="E341" i="1"/>
  <c r="C337" i="1"/>
  <c r="F337" i="1"/>
  <c r="F329" i="1"/>
  <c r="F332" i="1" s="1"/>
  <c r="C329" i="1"/>
  <c r="C332" i="1" s="1"/>
  <c r="D329" i="1"/>
  <c r="E329" i="1"/>
  <c r="C200" i="1"/>
  <c r="E200" i="1"/>
  <c r="D208" i="1"/>
  <c r="E208" i="1"/>
  <c r="F199" i="1"/>
  <c r="F208" i="1" s="1"/>
  <c r="D200" i="1"/>
  <c r="C208" i="1"/>
  <c r="G126" i="1"/>
  <c r="G127" i="1" s="1"/>
  <c r="G130" i="1" s="1"/>
  <c r="H126" i="1"/>
  <c r="H127" i="1" s="1"/>
  <c r="H130" i="1" s="1"/>
  <c r="C126" i="1"/>
  <c r="C127" i="1" s="1"/>
  <c r="D126" i="1"/>
  <c r="D127" i="1" s="1"/>
  <c r="D130" i="1" s="1"/>
  <c r="E126" i="1"/>
  <c r="E127" i="1" s="1"/>
  <c r="E130" i="1" s="1"/>
  <c r="F126" i="1"/>
  <c r="F127" i="1" s="1"/>
  <c r="F130" i="1" s="1"/>
  <c r="E96" i="1"/>
  <c r="D96" i="1"/>
  <c r="C96" i="1"/>
  <c r="D94" i="1"/>
  <c r="C94" i="1"/>
  <c r="F91" i="1"/>
  <c r="F93" i="1" s="1"/>
  <c r="F94" i="1" s="1"/>
  <c r="E91" i="1"/>
  <c r="E94" i="1" s="1"/>
  <c r="D342" i="1" l="1"/>
  <c r="C341" i="1"/>
  <c r="C339" i="1"/>
  <c r="F339" i="1"/>
  <c r="F341" i="1"/>
  <c r="E342" i="1"/>
  <c r="D332" i="1"/>
  <c r="E332" i="1"/>
  <c r="F200" i="1"/>
  <c r="G200" i="1" s="1"/>
  <c r="G208" i="1"/>
  <c r="C130" i="1"/>
  <c r="C131" i="1" s="1"/>
  <c r="C132" i="1" s="1"/>
  <c r="C135" i="1"/>
  <c r="C139" i="1" s="1"/>
  <c r="C140" i="1" s="1"/>
  <c r="E97" i="1"/>
  <c r="F97" i="1" s="1"/>
  <c r="F98" i="1" s="1"/>
  <c r="D97" i="1"/>
  <c r="D98" i="1" s="1"/>
  <c r="C97" i="1"/>
  <c r="C98" i="1" s="1"/>
  <c r="E343" i="1" l="1"/>
  <c r="E346" i="1" s="1"/>
  <c r="D343" i="1"/>
  <c r="D346" i="1" s="1"/>
  <c r="D349" i="1" s="1"/>
  <c r="D351" i="1" s="1"/>
  <c r="C342" i="1"/>
  <c r="C343" i="1" s="1"/>
  <c r="C346" i="1" s="1"/>
  <c r="C349" i="1" s="1"/>
  <c r="C351" i="1" s="1"/>
  <c r="F342" i="1"/>
  <c r="F343" i="1" s="1"/>
  <c r="F346" i="1" s="1"/>
  <c r="F348" i="1" s="1"/>
  <c r="G209" i="1"/>
  <c r="E98" i="1"/>
  <c r="C99" i="1" s="1"/>
  <c r="E349" i="1" l="1"/>
  <c r="E351" i="1" s="1"/>
  <c r="C35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Алексей Зумберг</author>
  </authors>
  <commentList>
    <comment ref="G49" authorId="0" shapeId="0" xr:uid="{E9E769CD-962F-4A31-9638-E20F66FF5B10}">
      <text>
        <r>
          <rPr>
            <b/>
            <sz val="9"/>
            <color indexed="81"/>
            <rFont val="Tahoma"/>
            <family val="2"/>
            <charset val="204"/>
          </rPr>
          <t>На данном этапе неважно что на что делить: большее на меньшее, или меньшее на большее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50" authorId="0" shapeId="0" xr:uid="{50D11CF0-2BB2-40A9-B7AD-32CC9F4641AA}">
      <text>
        <r>
          <rPr>
            <b/>
            <sz val="9"/>
            <color indexed="81"/>
            <rFont val="Tahoma"/>
            <family val="2"/>
            <charset val="204"/>
          </rPr>
          <t>Неважно от какого из аналогов рассчитывать затраты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326" authorId="0" shapeId="0" xr:uid="{B8FC8E34-B4C8-4BCD-A1FF-4695C1ECEBB1}">
      <text>
        <r>
          <rPr>
            <b/>
            <sz val="9"/>
            <color indexed="81"/>
            <rFont val="Tahoma"/>
            <family val="2"/>
            <charset val="204"/>
          </rPr>
          <t>Цена аналога * (ОО/ОА)^b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Алексей Зумберг</author>
  </authors>
  <commentList>
    <comment ref="D118" authorId="0" shapeId="0" xr:uid="{3310051D-8C9D-4A8C-93D3-00C1D07EB168}">
      <text>
        <r>
          <rPr>
            <b/>
            <sz val="9"/>
            <color indexed="81"/>
            <rFont val="Tahoma"/>
            <family val="2"/>
            <charset val="204"/>
          </rPr>
          <t>ОА не отличается по данному фактору от ОО.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18" authorId="0" shapeId="0" xr:uid="{893F9CF6-6165-4C14-9D76-554C59BDC9A4}">
      <text>
        <r>
          <rPr>
            <b/>
            <sz val="9"/>
            <color indexed="81"/>
            <rFont val="Tahoma"/>
            <family val="2"/>
            <charset val="204"/>
          </rPr>
          <t>ОА не отличается по данному фактору от ОО.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18" authorId="0" shapeId="0" xr:uid="{C9E1BE6A-FA61-4111-8F99-2A71A8A6060C}">
      <text>
        <r>
          <rPr>
            <b/>
            <sz val="9"/>
            <color indexed="81"/>
            <rFont val="Tahoma"/>
            <family val="2"/>
            <charset val="204"/>
          </rPr>
          <t>Относительная стоимость</t>
        </r>
      </text>
    </comment>
    <comment ref="D121" authorId="0" shapeId="0" xr:uid="{056D3C2B-7454-4F2A-B5E0-7B94E3631BB5}">
      <text>
        <r>
          <rPr>
            <b/>
            <sz val="9"/>
            <color indexed="81"/>
            <rFont val="Tahoma"/>
            <family val="2"/>
            <charset val="204"/>
          </rPr>
          <t>ОА не отличается по данному фактору от ОО.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21" authorId="0" shapeId="0" xr:uid="{1B26031B-E39E-4097-9119-5EFA02CB644C}">
      <text>
        <r>
          <rPr>
            <b/>
            <sz val="9"/>
            <color indexed="81"/>
            <rFont val="Tahoma"/>
            <family val="2"/>
            <charset val="204"/>
          </rPr>
          <t>ОА не отличается по данному фактору от ОО.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24" authorId="0" shapeId="0" xr:uid="{24EC4A0C-B949-4EE2-A15C-74FB4E0E6933}">
      <text>
        <r>
          <rPr>
            <b/>
            <sz val="9"/>
            <color indexed="81"/>
            <rFont val="Tahoma"/>
            <family val="2"/>
            <charset val="204"/>
          </rPr>
          <t>ОА не отличается по данному фактору от ОО.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24" authorId="0" shapeId="0" xr:uid="{9A537A55-589F-4C97-8A3B-C5A35C7D7E00}">
      <text>
        <r>
          <rPr>
            <b/>
            <sz val="9"/>
            <color indexed="81"/>
            <rFont val="Tahoma"/>
            <family val="2"/>
            <charset val="204"/>
          </rPr>
          <t>ОА не отличается по данному фактору от ОО.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26" authorId="0" shapeId="0" xr:uid="{6C070052-8E09-4E81-9E5B-7543D10C65F1}">
      <text>
        <r>
          <rPr>
            <b/>
            <sz val="9"/>
            <color indexed="81"/>
            <rFont val="Tahoma"/>
            <family val="2"/>
            <charset val="204"/>
          </rPr>
          <t>Относительная стоимость</t>
        </r>
      </text>
    </comment>
    <comment ref="D127" authorId="0" shapeId="0" xr:uid="{CCEEBF54-9BF2-43D3-ABA4-0F6CC9CDA94B}">
      <text>
        <r>
          <rPr>
            <b/>
            <sz val="9"/>
            <color indexed="81"/>
            <rFont val="Tahoma"/>
            <family val="2"/>
            <charset val="204"/>
          </rPr>
          <t>ОА не отличается по данному фактору от ОО.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27" authorId="0" shapeId="0" xr:uid="{704BB308-E9B2-4F3F-A645-A32BDE9EB46E}">
      <text>
        <r>
          <rPr>
            <b/>
            <sz val="9"/>
            <color indexed="81"/>
            <rFont val="Tahoma"/>
            <family val="2"/>
            <charset val="204"/>
          </rPr>
          <t>ОА не отличается по данному фактору от ОО.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27" authorId="0" shapeId="0" xr:uid="{5264CC6D-78EC-4330-AB59-9C21C297D65F}">
      <text>
        <r>
          <rPr>
            <b/>
            <sz val="9"/>
            <color indexed="81"/>
            <rFont val="Tahoma"/>
            <family val="2"/>
            <charset val="204"/>
          </rPr>
          <t>Поскольку корректировки приведены со знаком "минус", в скобках ставим "плюс"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28" authorId="0" shapeId="0" xr:uid="{AD000031-8CFD-4BF2-9A64-298B9527F1E9}">
      <text>
        <r>
          <rPr>
            <b/>
            <sz val="9"/>
            <color indexed="81"/>
            <rFont val="Tahoma"/>
            <family val="2"/>
            <charset val="204"/>
          </rPr>
          <t>Поскольку корректировки приведены со знаком "минус", в скобках ставим "плюс"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30" authorId="0" shapeId="0" xr:uid="{386D474F-01EB-4D86-9819-E1BDDE33C63E}">
      <text>
        <r>
          <rPr>
            <b/>
            <sz val="9"/>
            <color indexed="81"/>
            <rFont val="Tahoma"/>
            <family val="2"/>
            <charset val="204"/>
          </rPr>
          <t>ОА не отличается по данному фактору от ОО.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30" authorId="0" shapeId="0" xr:uid="{623686E9-EBB7-4EE9-8C9E-FC21EC163107}">
      <text>
        <r>
          <rPr>
            <b/>
            <sz val="9"/>
            <color indexed="81"/>
            <rFont val="Tahoma"/>
            <family val="2"/>
            <charset val="204"/>
          </rPr>
          <t>ОА не отличается по данному фактору от ОО.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31" authorId="0" shapeId="0" xr:uid="{A4E4AE17-73A5-4787-977A-6F441CEBB566}">
      <text>
        <r>
          <rPr>
            <b/>
            <sz val="9"/>
            <color indexed="81"/>
            <rFont val="Tahoma"/>
            <family val="2"/>
            <charset val="204"/>
          </rPr>
          <t>Данный тип решения (когда цена предложения корректируется один раз на итоговый коэффициент) рекомендуется только для экзамена в целях ускорения решения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34" authorId="0" shapeId="0" xr:uid="{9FA3BDFB-93DA-4D0D-8DD4-E98CE2A868E9}">
      <text>
        <r>
          <rPr>
            <b/>
            <sz val="9"/>
            <color indexed="81"/>
            <rFont val="Tahoma"/>
            <family val="2"/>
            <charset val="204"/>
          </rPr>
          <t>Не надо округлять или вписывать вручную 0,33!!!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35" authorId="0" shapeId="0" xr:uid="{0C542DDC-BF7F-4073-A77E-0C31675E35E9}">
      <text>
        <r>
          <rPr>
            <b/>
            <sz val="9"/>
            <color indexed="81"/>
            <rFont val="Tahoma"/>
            <family val="2"/>
            <charset val="204"/>
          </rPr>
          <t>Если в условии есть фраза, что определение класса включает в себя характеристики отделки и местоположения, то используется только эта корректировка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49" authorId="0" shapeId="0" xr:uid="{B5B780A6-1B3C-44AF-82A8-CA034710B3DC}">
      <text>
        <r>
          <rPr>
            <b/>
            <sz val="9"/>
            <color indexed="81"/>
            <rFont val="Tahoma"/>
            <family val="2"/>
            <charset val="204"/>
          </rPr>
          <t>Если в условии есть фраза, что определение класса включает в себя характеристики отделки и местоположения, то используется только эта корректировка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70" authorId="0" shapeId="0" xr:uid="{0E3DDCC3-8F7E-439A-9682-96702E5D29B4}">
      <text>
        <r>
          <rPr>
            <b/>
            <sz val="9"/>
            <color indexed="81"/>
            <rFont val="Tahoma"/>
            <family val="2"/>
            <charset val="204"/>
          </rPr>
          <t>Тот случай, когда "аналог дороже объекта на … %". Но это ещё не корректировка</t>
        </r>
      </text>
    </comment>
    <comment ref="D377" authorId="0" shapeId="0" xr:uid="{689A5640-5023-4379-B457-D3B1A8B9EC80}">
      <text>
        <r>
          <rPr>
            <b/>
            <sz val="9"/>
            <color indexed="81"/>
            <rFont val="Tahoma"/>
            <family val="2"/>
            <charset val="204"/>
          </rPr>
          <t>Если ОО и ОА не отличаются по типу,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377" authorId="0" shapeId="0" xr:uid="{BD9BA0DC-089A-4765-9073-1B6783A07812}">
      <text>
        <r>
          <rPr>
            <b/>
            <sz val="9"/>
            <color indexed="81"/>
            <rFont val="Tahoma"/>
            <family val="2"/>
            <charset val="204"/>
          </rPr>
          <t>Если ОО и ОА не отличаются по типу,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77" authorId="0" shapeId="0" xr:uid="{F7C811F9-25ED-4FD3-8058-3ABF1FA1E5E3}">
      <text>
        <r>
          <rPr>
            <b/>
            <sz val="9"/>
            <color indexed="81"/>
            <rFont val="Tahoma"/>
            <family val="2"/>
            <charset val="204"/>
          </rPr>
          <t>Относительная стоимость</t>
        </r>
      </text>
    </comment>
    <comment ref="D380" authorId="0" shapeId="0" xr:uid="{619D645D-6DEE-45D1-AFD9-03FC79788319}">
      <text>
        <r>
          <rPr>
            <b/>
            <sz val="9"/>
            <color indexed="81"/>
            <rFont val="Tahoma"/>
            <family val="2"/>
            <charset val="204"/>
          </rPr>
          <t>Если ОО и ОА не отличаются по количеству комнат -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80" authorId="0" shapeId="0" xr:uid="{220221DD-095F-4AE4-926C-0FFC1F0BCF37}">
      <text>
        <r>
          <rPr>
            <b/>
            <sz val="9"/>
            <color indexed="81"/>
            <rFont val="Tahoma"/>
            <family val="2"/>
            <charset val="204"/>
          </rPr>
          <t>Не +5%, а +5,3%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85" authorId="0" shapeId="0" xr:uid="{F38B781D-0473-487C-89E6-D061F407C489}">
      <text>
        <r>
          <rPr>
            <b/>
            <sz val="9"/>
            <color indexed="81"/>
            <rFont val="Tahoma"/>
            <family val="2"/>
            <charset val="204"/>
          </rPr>
          <t>Относительная стоимость</t>
        </r>
      </text>
    </comment>
    <comment ref="E386" authorId="0" shapeId="0" xr:uid="{EA8F199E-3691-4D3B-940B-A076B5BECDBF}">
      <text>
        <r>
          <rPr>
            <b/>
            <sz val="9"/>
            <color indexed="81"/>
            <rFont val="Tahoma"/>
            <family val="2"/>
            <charset val="204"/>
          </rPr>
          <t>Если ОО и ОА не отличаются по местоположению - сразу ставим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390" authorId="0" shapeId="0" xr:uid="{A042E7C0-BB67-4E7E-92A7-902B1A840829}">
      <text>
        <r>
          <rPr>
            <b/>
            <sz val="9"/>
            <color indexed="81"/>
            <rFont val="Tahoma"/>
            <family val="2"/>
            <charset val="204"/>
          </rPr>
          <t>Данный тип решения (когда цена предложения корректируется один раз на итоговый коэффициент) рекомендуется только для экзамена в целях ускорения решения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393" authorId="0" shapeId="0" xr:uid="{169726F8-5167-4EB8-ABAE-B7F9F0BCA2BE}">
      <text>
        <r>
          <rPr>
            <b/>
            <sz val="9"/>
            <color indexed="81"/>
            <rFont val="Tahoma"/>
            <family val="2"/>
            <charset val="204"/>
          </rPr>
          <t>Не надо округлять или вписывать вручную 0,33!!!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Алексей Зумберг</author>
  </authors>
  <commentList>
    <comment ref="F28" authorId="0" shapeId="0" xr:uid="{A6B81169-BF67-4DEF-BF0F-364A0B5DCDC9}">
      <text>
        <r>
          <rPr>
            <b/>
            <sz val="9"/>
            <color indexed="81"/>
            <rFont val="Tahoma"/>
            <family val="2"/>
            <charset val="204"/>
          </rPr>
          <t>Терминальная стоимость (реверсия) дисконтируется на конец последнего прогнозного периода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3" authorId="0" shapeId="0" xr:uid="{7CFC9020-9BE9-42ED-9743-DCC7AF14B787}">
      <text>
        <r>
          <rPr>
            <b/>
            <sz val="9"/>
            <color indexed="81"/>
            <rFont val="Tahoma"/>
            <family val="2"/>
            <charset val="204"/>
          </rPr>
          <t>Не путайте ставку терминальной капитализации и ставку дисконтирования для  терминальной стоимости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4" authorId="0" shapeId="0" xr:uid="{83A9717E-FE5F-4ABF-ACC3-9C1A841AAAD1}">
      <text>
        <r>
          <rPr>
            <b/>
            <sz val="9"/>
            <color indexed="81"/>
            <rFont val="Tahoma"/>
            <family val="2"/>
            <charset val="204"/>
          </rPr>
          <t>Иногда ошибки связаны с тем, что, копируя формулы, дисконтируют не терминальную стоимость, а ЧОД постпрогноза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86" authorId="0" shapeId="0" xr:uid="{FC1B41D6-F4A6-48B5-B93A-C75213E99070}">
      <text>
        <r>
          <rPr>
            <b/>
            <sz val="9"/>
            <color indexed="81"/>
            <rFont val="Tahoma"/>
            <family val="2"/>
            <charset val="204"/>
          </rPr>
          <t>Дисконтируется на конец последнего прогнозного периода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87" authorId="0" shapeId="0" xr:uid="{AD10B914-B147-4E4B-A2E4-6652E391D08B}">
      <text>
        <r>
          <rPr>
            <b/>
            <sz val="9"/>
            <color indexed="81"/>
            <rFont val="Tahoma"/>
            <family val="2"/>
            <charset val="204"/>
          </rPr>
          <t>Не забываем про знак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7" authorId="0" shapeId="0" xr:uid="{1C1F3182-4265-450E-BA0D-B331D4287D76}">
      <text>
        <r>
          <rPr>
            <b/>
            <sz val="9"/>
            <color indexed="81"/>
            <rFont val="Tahoma"/>
            <family val="2"/>
            <charset val="204"/>
          </rPr>
          <t>Те задачи, когда важно разделение групп разрядов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90" authorId="0" shapeId="0" xr:uid="{AE498E3B-6DEB-4958-ADD4-6379DD239418}">
      <text>
        <r>
          <rPr>
            <b/>
            <sz val="9"/>
            <color indexed="81"/>
            <rFont val="Tahoma"/>
            <family val="2"/>
            <charset val="204"/>
          </rPr>
          <t>На экзамене встречается как загрузка, так и недозагрузка.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93" authorId="0" shapeId="0" xr:uid="{BCD1EB4F-32E0-48C4-A642-E8677DCCEA82}">
      <text>
        <r>
          <rPr>
            <b/>
            <sz val="9"/>
            <color indexed="81"/>
            <rFont val="Tahoma"/>
            <family val="2"/>
            <charset val="204"/>
          </rPr>
          <t>Возможно условие задачи, при котором ДОПОЛНИТЕЛЬНО к вышеизложенному условию будет приведена цена продажи объекта после окончания прогнозного периода. Тогда расчет терминальной стоимость не производится, а берётся из условия задачи.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26" authorId="0" shapeId="0" xr:uid="{651BA8D9-DE29-4551-91EE-CA9D8E01B269}">
      <text>
        <r>
          <rPr>
            <b/>
            <sz val="9"/>
            <color indexed="81"/>
            <rFont val="Tahoma"/>
            <family val="2"/>
            <charset val="204"/>
          </rPr>
          <t>Остаток кредита можно посчитать как приведённую стоимость всех оставшихся платежей.
Проверить знак!!!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27" authorId="0" shapeId="0" xr:uid="{E1EC8EF1-9327-420B-965B-F9B9C5A1F34B}">
      <text>
        <r>
          <rPr>
            <b/>
            <sz val="9"/>
            <color indexed="81"/>
            <rFont val="Tahoma"/>
            <family val="2"/>
            <charset val="204"/>
          </rPr>
          <t>Проверить знак!!!
Если платёж по кредиту со знаком минус, то в формуле плюс!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29" authorId="0" shapeId="0" xr:uid="{8A0F1BCE-7743-435A-BFD1-99792DD51797}">
      <text>
        <r>
          <rPr>
            <b/>
            <sz val="9"/>
            <color indexed="81"/>
            <rFont val="Tahoma"/>
            <family val="2"/>
            <charset val="204"/>
          </rPr>
          <t>На конец последнего прогнозного периода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32" authorId="0" shapeId="0" xr:uid="{4241075E-24CC-4FF5-BFC0-7D6BB91E62DF}">
      <text>
        <r>
          <rPr>
            <b/>
            <sz val="9"/>
            <color indexed="81"/>
            <rFont val="Tahoma"/>
            <family val="2"/>
            <charset val="204"/>
          </rPr>
          <t>Рыночная стоимость в данном случае равна сумме собственного и заёмного капиталов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35" authorId="0" shapeId="0" xr:uid="{4C0DF95B-C090-42EA-BA72-3E0867852FCD}">
      <text>
        <r>
          <rPr>
            <b/>
            <sz val="9"/>
            <color indexed="81"/>
            <rFont val="Tahoma"/>
            <family val="2"/>
            <charset val="204"/>
          </rPr>
          <t>Текущая стоимость аннуитета из шести денежных потоков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38" authorId="0" shapeId="0" xr:uid="{E08CA2AE-A949-485C-B6E9-C91D53F3F694}">
      <text>
        <r>
          <rPr>
            <b/>
            <sz val="9"/>
            <color indexed="81"/>
            <rFont val="Tahoma"/>
            <family val="2"/>
            <charset val="204"/>
          </rPr>
          <t>Текущая стоимость будущей стоимости реверсии</t>
        </r>
      </text>
    </comment>
    <comment ref="C197" authorId="0" shapeId="0" xr:uid="{85243C0B-A8C7-496C-A9B8-1620CA6EAECB}">
      <text>
        <r>
          <rPr>
            <b/>
            <sz val="9"/>
            <color indexed="81"/>
            <rFont val="Tahoma"/>
            <family val="2"/>
            <charset val="204"/>
          </rPr>
          <t>Не забываем про знаки "минус" при затратах на строительство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08" authorId="0" shapeId="0" xr:uid="{AE746845-4F6C-42C9-AC55-D84B5F61E49A}">
      <text>
        <r>
          <rPr>
            <b/>
            <sz val="9"/>
            <color indexed="81"/>
            <rFont val="Tahoma"/>
            <family val="2"/>
            <charset val="204"/>
          </rPr>
          <t>Факторы стоимости выше, в расчёте обязательств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19" authorId="0" shapeId="0" xr:uid="{09DFD08C-9E91-494B-B403-482F8A91BE69}">
      <text>
        <r>
          <rPr>
            <b/>
            <sz val="9"/>
            <color indexed="81"/>
            <rFont val="Tahoma"/>
            <family val="2"/>
            <charset val="204"/>
          </rPr>
          <t>Дисконтируем на конец второго периода, как указано в середине условия задачи.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76" authorId="0" shapeId="0" xr:uid="{7B09402C-024D-4303-BFE8-7090B2B69E68}">
      <text>
        <r>
          <rPr>
            <b/>
            <sz val="9"/>
            <color indexed="81"/>
            <rFont val="Tahoma"/>
            <family val="2"/>
            <charset val="204"/>
          </rPr>
          <t>Дисконтируется на конец последнего прогнозного периода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77" authorId="0" shapeId="0" xr:uid="{78DB896B-4E58-45E4-BBDC-E8E74EA744F2}">
      <text>
        <r>
          <rPr>
            <b/>
            <sz val="9"/>
            <color indexed="81"/>
            <rFont val="Tahoma"/>
            <family val="2"/>
            <charset val="204"/>
          </rPr>
          <t>Не забываем про знак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77" authorId="0" shapeId="0" xr:uid="{D05508F3-8037-4B7D-B71B-16947B66C2F9}">
      <text>
        <r>
          <rPr>
            <b/>
            <sz val="9"/>
            <color indexed="81"/>
            <rFont val="Tahoma"/>
            <family val="2"/>
            <charset val="204"/>
          </rPr>
          <t>Те задачи, когда важно разделение групп разрядов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80" authorId="0" shapeId="0" xr:uid="{BFDEA881-2FEF-447D-BE09-9A2E4FF1A5AA}">
      <text>
        <r>
          <rPr>
            <b/>
            <sz val="9"/>
            <color indexed="81"/>
            <rFont val="Tahoma"/>
            <family val="2"/>
            <charset val="204"/>
          </rPr>
          <t>На экзамене встречается как загрузка, так и недозагрузка.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283" authorId="0" shapeId="0" xr:uid="{84A52F6B-4026-4C94-AEEE-C281D50882CF}">
      <text>
        <r>
          <rPr>
            <b/>
            <sz val="9"/>
            <color indexed="81"/>
            <rFont val="Tahoma"/>
            <family val="2"/>
            <charset val="204"/>
          </rPr>
          <t>Возможно условие задачи, при котором ДОПОЛНИТЕЛЬНО к вышеизложенному условию будет приведена цена продажи объекта после окончания прогнозного периода. Тогда расчет терминальной стоимость не производится, а берётся из условия задачи.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310" authorId="0" shapeId="0" xr:uid="{A1786EE2-8D02-4662-9888-F3CAFDEBFFF1}">
      <text>
        <r>
          <rPr>
            <b/>
            <sz val="9"/>
            <color indexed="81"/>
            <rFont val="Tahoma"/>
            <family val="2"/>
            <charset val="204"/>
          </rPr>
          <t>Текущая стоимость аннуитета из десяти денежных потоков по ставке на собственный капитал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349" authorId="0" shapeId="0" xr:uid="{E65FD7E7-0FB1-46DC-8580-3D9AB52E9A5F}">
      <text>
        <r>
          <rPr>
            <b/>
            <sz val="9"/>
            <color indexed="81"/>
            <rFont val="Tahoma"/>
            <family val="2"/>
            <charset val="204"/>
          </rPr>
          <t>Третий прогнозный + будущая стоимость реверсии.</t>
        </r>
        <r>
          <rPr>
            <sz val="9"/>
            <color indexed="81"/>
            <rFont val="Tahoma"/>
            <family val="2"/>
            <charset val="204"/>
          </rPr>
          <t xml:space="preserve">
Вариант как упростить процесс дисконтирования</t>
        </r>
      </text>
    </comment>
    <comment ref="F358" authorId="0" shapeId="0" xr:uid="{47E92D22-C859-4185-9A44-5D052144479B}">
      <text>
        <r>
          <rPr>
            <b/>
            <sz val="9"/>
            <color indexed="81"/>
            <rFont val="Tahoma"/>
            <family val="2"/>
            <charset val="204"/>
          </rPr>
          <t>Дисконтируется на конец последнего прогнозного периода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359" authorId="0" shapeId="0" xr:uid="{6286BEFC-1B3D-4883-AC4E-E11F988DC9A0}">
      <text>
        <r>
          <rPr>
            <b/>
            <sz val="9"/>
            <color indexed="81"/>
            <rFont val="Tahoma"/>
            <family val="2"/>
            <charset val="204"/>
          </rPr>
          <t>Не забываем про знак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359" authorId="0" shapeId="0" xr:uid="{488D36F9-4A65-4041-844F-55DDBD433005}">
      <text>
        <r>
          <rPr>
            <b/>
            <sz val="9"/>
            <color indexed="81"/>
            <rFont val="Tahoma"/>
            <family val="2"/>
            <charset val="204"/>
          </rPr>
          <t>Не забываем про знак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362" authorId="0" shapeId="0" xr:uid="{FE62BCE1-3B6C-487B-8414-E76F599C8341}">
      <text>
        <r>
          <rPr>
            <b/>
            <sz val="9"/>
            <color indexed="81"/>
            <rFont val="Tahoma"/>
            <family val="2"/>
            <charset val="204"/>
          </rPr>
          <t>На экзамене встречается как загрузка, так и недозагрузка.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66" authorId="0" shapeId="0" xr:uid="{FF822D1B-AFE0-403C-B098-C984EABFAC18}">
      <text>
        <r>
          <rPr>
            <b/>
            <sz val="9"/>
            <color indexed="81"/>
            <rFont val="Tahoma"/>
            <family val="2"/>
            <charset val="204"/>
          </rPr>
          <t>Данные для постпрогноза в условии ЛИШНИЕ. Терминальная стоимость указана в условии - 115000р. за 1 кв.м. ОБЩЕЙ площади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77" authorId="0" shapeId="0" xr:uid="{25B530AF-E4BA-4108-9E03-8F0E440584E2}">
      <text>
        <r>
          <rPr>
            <b/>
            <sz val="9"/>
            <color indexed="81"/>
            <rFont val="Tahoma"/>
            <family val="2"/>
            <charset val="204"/>
          </rPr>
          <t>Дисконтируется на конец последнего прогнозного периода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378" authorId="0" shapeId="0" xr:uid="{F7046091-308E-479C-81D9-6190697E7182}">
      <text>
        <r>
          <rPr>
            <b/>
            <sz val="9"/>
            <color indexed="81"/>
            <rFont val="Tahoma"/>
            <family val="2"/>
            <charset val="204"/>
          </rPr>
          <t>Не забываем про знак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378" authorId="0" shapeId="0" xr:uid="{9C48FF6A-4189-4E59-ACA3-174F62230B9C}">
      <text>
        <r>
          <rPr>
            <b/>
            <sz val="9"/>
            <color indexed="81"/>
            <rFont val="Tahoma"/>
            <family val="2"/>
            <charset val="204"/>
          </rPr>
          <t>Не забываем про знак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381" authorId="0" shapeId="0" xr:uid="{824E17C2-DC67-456A-BB1A-EA5EDB63BEA9}">
      <text>
        <r>
          <rPr>
            <b/>
            <sz val="9"/>
            <color indexed="81"/>
            <rFont val="Tahoma"/>
            <family val="2"/>
            <charset val="204"/>
          </rPr>
          <t>На экзамене встречается как загрузка, так и недозагрузка.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85" authorId="0" shapeId="0" xr:uid="{79FF7C38-E2FB-4967-85AF-F3B68B03ED68}">
      <text>
        <r>
          <rPr>
            <b/>
            <sz val="9"/>
            <color indexed="81"/>
            <rFont val="Tahoma"/>
            <family val="2"/>
            <charset val="204"/>
          </rPr>
          <t>Данные для постпрогноза в условии ЛИШНИЕ. Терминальная стоимость указана в условии - 115000р. за 1 кв.м. ОБЩЕЙ площади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89" authorId="0" shapeId="0" xr:uid="{9F38E70A-9E5D-45E3-AC07-018655920BC3}">
      <text>
        <r>
          <rPr>
            <b/>
            <sz val="9"/>
            <color indexed="81"/>
            <rFont val="Tahoma"/>
            <family val="2"/>
            <charset val="204"/>
          </rPr>
          <t>Устанавливаем курсор в этой ячейке, нажимаем Alt + "=", и жмем Enter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398" authorId="0" shapeId="0" xr:uid="{D06673DB-32BB-4A7F-86C6-2A23919123FD}">
      <text>
        <r>
          <rPr>
            <b/>
            <sz val="9"/>
            <color indexed="81"/>
            <rFont val="Tahoma"/>
            <family val="2"/>
            <charset val="204"/>
          </rPr>
          <t>Если затраты со знаком минус, то выручку и затраты складываем, если затраты поставили со знаком плюс - вычитаем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415" authorId="0" shapeId="0" xr:uid="{1E7EF28D-340C-4467-893E-F76BC5427F4D}">
      <text>
        <r>
          <rPr>
            <b/>
            <sz val="9"/>
            <color indexed="81"/>
            <rFont val="Tahoma"/>
            <family val="2"/>
            <charset val="204"/>
          </rPr>
          <t>Для ЗУ ставка дисконтирования равна ставке капитализации, поскольку земля - неизнашиваемый актив, и для неё отсутствует норма возврата.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56" authorId="0" shapeId="0" xr:uid="{CDA27B6B-D94F-40DA-98F1-34072B5B5F00}">
      <text>
        <r>
          <rPr>
            <b/>
            <sz val="9"/>
            <color indexed="81"/>
            <rFont val="Tahoma"/>
            <family val="2"/>
            <charset val="204"/>
          </rPr>
          <t>Терминальная стоимость (реверсия) дисконтируется на конец последнего прогнозного периода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71" authorId="0" shapeId="0" xr:uid="{B851E12F-55FF-4252-B3B0-46D657B6219D}">
      <text>
        <r>
          <rPr>
            <b/>
            <sz val="9"/>
            <color indexed="81"/>
            <rFont val="Tahoma"/>
            <family val="2"/>
            <charset val="204"/>
          </rPr>
          <t>Не путайте ставку терминальной капитализации и ставку дисконтирования для  терминальной стоимости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72" authorId="0" shapeId="0" xr:uid="{165210DF-8643-4BCE-9AE8-8B90443A2687}">
      <text>
        <r>
          <rPr>
            <b/>
            <sz val="9"/>
            <color indexed="81"/>
            <rFont val="Tahoma"/>
            <family val="2"/>
            <charset val="204"/>
          </rPr>
          <t>Иногда ошибки связаны с тем, что, копируя формулы, дисконтируют не терминальную стоимость, а ЧОД постпрогноза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88" authorId="0" shapeId="0" xr:uid="{1EA87A48-864C-4F22-896C-BF8D7115914D}">
      <text>
        <r>
          <rPr>
            <b/>
            <sz val="9"/>
            <color indexed="81"/>
            <rFont val="Tahoma"/>
            <family val="2"/>
            <charset val="204"/>
          </rPr>
          <t>Реверсия на конец последнего прогнозного периода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07" authorId="0" shapeId="0" xr:uid="{1505B637-FEAB-4332-9D75-0A93B6AEC692}">
      <text>
        <r>
          <rPr>
            <b/>
            <sz val="9"/>
            <color indexed="81"/>
            <rFont val="Tahoma"/>
            <family val="2"/>
            <charset val="204"/>
          </rPr>
          <t>Терминальная стоимость (реверсия) дисконтируется на конец последнего прогнозного периода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22" authorId="0" shapeId="0" xr:uid="{E851DBF9-E943-4523-A4DD-074334EE218B}">
      <text>
        <r>
          <rPr>
            <b/>
            <sz val="9"/>
            <color indexed="81"/>
            <rFont val="Tahoma"/>
            <family val="2"/>
            <charset val="204"/>
          </rPr>
          <t>Не путайте ставку терминальной капитализации и ставку дисконтирования для  терминальной стоимости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23" authorId="0" shapeId="0" xr:uid="{BDC32572-C74C-451A-A087-05F822C1E518}">
      <text>
        <r>
          <rPr>
            <b/>
            <sz val="9"/>
            <color indexed="81"/>
            <rFont val="Tahoma"/>
            <family val="2"/>
            <charset val="204"/>
          </rPr>
          <t>Иногда ошибки связаны с тем, что, копируя формулы, дисконтируют не терминальную стоимость, а ЧОД постпрогноза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<sst xmlns="http://schemas.openxmlformats.org/spreadsheetml/2006/main" count="1318" uniqueCount="727">
  <si>
    <t>Период</t>
  </si>
  <si>
    <t>Постпрогноз</t>
  </si>
  <si>
    <t>Общая площадь</t>
  </si>
  <si>
    <t>Арендопригодная площадь</t>
  </si>
  <si>
    <t>Недозагрузка, %</t>
  </si>
  <si>
    <t>Арендуемая площадь</t>
  </si>
  <si>
    <t>Компенсация ОР, руб.</t>
  </si>
  <si>
    <t>ДВД, руб.</t>
  </si>
  <si>
    <t>ДВД + компенсация ОР, руб.</t>
  </si>
  <si>
    <t>Фактические ОР, руб.</t>
  </si>
  <si>
    <t>ЧОД, руб.</t>
  </si>
  <si>
    <t>Фактические ОР, руб./кв.м.</t>
  </si>
  <si>
    <t>Компенсация ОР, руб./кв.м.</t>
  </si>
  <si>
    <t>Арендная ставка, руб./кв.м.</t>
  </si>
  <si>
    <t>Ставка терминальной капитализации</t>
  </si>
  <si>
    <t>Терминальная стоимость</t>
  </si>
  <si>
    <t>Ставка дисконтирования</t>
  </si>
  <si>
    <t>Текущая стоимость</t>
  </si>
  <si>
    <t>Рыночная арендная плата</t>
  </si>
  <si>
    <t>ПВД</t>
  </si>
  <si>
    <t>Эффективный возраст</t>
  </si>
  <si>
    <t>Срок экономической жизни</t>
  </si>
  <si>
    <t>Срок экспозиции, мес</t>
  </si>
  <si>
    <t>Безрисковая ставка</t>
  </si>
  <si>
    <t>Риск вложений в недвижимость</t>
  </si>
  <si>
    <t>Инвестиционный менеджмент</t>
  </si>
  <si>
    <t>Расчет:</t>
  </si>
  <si>
    <t>Оставшийся срок эконом. жизни</t>
  </si>
  <si>
    <t>Риск низкой ликвидности</t>
  </si>
  <si>
    <t>Норма возврата</t>
  </si>
  <si>
    <t>Ставка капитализации</t>
  </si>
  <si>
    <t>ЧОД ЕОН</t>
  </si>
  <si>
    <t>Затраты на замещение</t>
  </si>
  <si>
    <t>КК для ЗУ</t>
  </si>
  <si>
    <t>КК для улучшений</t>
  </si>
  <si>
    <t>Решение:</t>
  </si>
  <si>
    <t>ЧОД от улучшений</t>
  </si>
  <si>
    <t>ЧОД от ЗУ</t>
  </si>
  <si>
    <t>РС ЕОН</t>
  </si>
  <si>
    <t>Прямые затраты</t>
  </si>
  <si>
    <t>Косвенные издержки</t>
  </si>
  <si>
    <t>РС ЕОН = (Прямые затраты + Косвенные издержки + ПП) + ЗУ</t>
  </si>
  <si>
    <t>Косвенные издержки, в % от прямых</t>
  </si>
  <si>
    <t>ПП</t>
  </si>
  <si>
    <t>ПП, в % от ЕОН</t>
  </si>
  <si>
    <t>РС ЗУ</t>
  </si>
  <si>
    <t>Затраты на строительство</t>
  </si>
  <si>
    <t>ПВД за 1 кв.м. арендопригодной</t>
  </si>
  <si>
    <t>Загрузка</t>
  </si>
  <si>
    <t>ДВД</t>
  </si>
  <si>
    <t>Денежный поток</t>
  </si>
  <si>
    <t>Фактор текущей стоимости</t>
  </si>
  <si>
    <t>Текущая стоимость потока</t>
  </si>
  <si>
    <t>РС</t>
  </si>
  <si>
    <r>
      <t xml:space="preserve">Фактор для </t>
    </r>
    <r>
      <rPr>
        <b/>
        <sz val="14"/>
        <color rgb="FFFF0000"/>
        <rFont val="Calibri"/>
        <family val="2"/>
        <charset val="204"/>
        <scheme val="minor"/>
      </rPr>
      <t>одного</t>
    </r>
    <r>
      <rPr>
        <sz val="14"/>
        <color theme="1"/>
        <rFont val="Calibri"/>
        <family val="2"/>
        <charset val="204"/>
        <scheme val="minor"/>
      </rPr>
      <t xml:space="preserve"> года (К дисконтир.)</t>
    </r>
  </si>
  <si>
    <t>ЧОД</t>
  </si>
  <si>
    <t>Величина кредита</t>
  </si>
  <si>
    <t>Срок кредита, лет</t>
  </si>
  <si>
    <t>Ставка по кредиту</t>
  </si>
  <si>
    <t>Платёж по кредиту</t>
  </si>
  <si>
    <t>Реверсия</t>
  </si>
  <si>
    <t>ЧОД от объекта</t>
  </si>
  <si>
    <t>Платёж по кредиту (возврат остатка)</t>
  </si>
  <si>
    <t>Поток (собственный капитал)</t>
  </si>
  <si>
    <t>РС (собственный капитал)</t>
  </si>
  <si>
    <t>РС объекта</t>
  </si>
  <si>
    <t>Вариант 2</t>
  </si>
  <si>
    <t>Приведённая стоимость СК за 6 лет</t>
  </si>
  <si>
    <t>Приведённая стоимость реверсии</t>
  </si>
  <si>
    <t>РС (собственный  капитал)</t>
  </si>
  <si>
    <t>Будущая стоимость</t>
  </si>
  <si>
    <t>Количество лет</t>
  </si>
  <si>
    <t>Ставка</t>
  </si>
  <si>
    <t>Безрисковая</t>
  </si>
  <si>
    <t>Премия за риск вложения</t>
  </si>
  <si>
    <t xml:space="preserve">Площадь </t>
  </si>
  <si>
    <r>
      <t xml:space="preserve">Арендная ставка, </t>
    </r>
    <r>
      <rPr>
        <b/>
        <sz val="14"/>
        <color rgb="FFFF0000"/>
        <rFont val="Calibri"/>
        <family val="2"/>
        <charset val="204"/>
        <scheme val="minor"/>
      </rPr>
      <t>в месяц</t>
    </r>
  </si>
  <si>
    <r>
      <t xml:space="preserve">Возмещение расходов, </t>
    </r>
    <r>
      <rPr>
        <b/>
        <sz val="14"/>
        <color rgb="FFFF0000"/>
        <rFont val="Calibri"/>
        <family val="2"/>
        <charset val="204"/>
        <scheme val="minor"/>
      </rPr>
      <t>в месяц</t>
    </r>
  </si>
  <si>
    <t>ВРМ</t>
  </si>
  <si>
    <r>
      <t xml:space="preserve">Валовый доход, </t>
    </r>
    <r>
      <rPr>
        <b/>
        <sz val="14"/>
        <color rgb="FFFF0000"/>
        <rFont val="Calibri"/>
        <family val="2"/>
        <charset val="204"/>
        <scheme val="minor"/>
      </rPr>
      <t>за год</t>
    </r>
  </si>
  <si>
    <t>Рыночная стоимость</t>
  </si>
  <si>
    <t>РС улучшений</t>
  </si>
  <si>
    <t>Ставка для улучшений</t>
  </si>
  <si>
    <t>ЧОД улучшений</t>
  </si>
  <si>
    <t>ЧОД ЗУ</t>
  </si>
  <si>
    <t>Ставка для земли</t>
  </si>
  <si>
    <t>Денежный поток (обязательство)</t>
  </si>
  <si>
    <t>Фактор стоимости</t>
  </si>
  <si>
    <t>Денежный поток (по рынку)</t>
  </si>
  <si>
    <t>Поток</t>
  </si>
  <si>
    <t>ЗУ</t>
  </si>
  <si>
    <t>Разница в стоимостях ЗУ</t>
  </si>
  <si>
    <t>Продажа</t>
  </si>
  <si>
    <t>Стоимость ЗУ</t>
  </si>
  <si>
    <t>С округлением</t>
  </si>
  <si>
    <t>РС Улучшений</t>
  </si>
  <si>
    <t>Ставка капитализации для улучшений</t>
  </si>
  <si>
    <t>Ставка капитализации для ЗУ</t>
  </si>
  <si>
    <t>ЧОД Улучшений</t>
  </si>
  <si>
    <t>3.2.3.15. Рассчитать чистый операционный доход от земельного участка. Чистый операционный доход единого объекта недвижимости 200 000 руб., стоимость улучшений 800 000 рублей. Коэффициент капитализации 15% для улучшений и 10% для земельного участка.</t>
  </si>
  <si>
    <r>
      <t xml:space="preserve">3.2.3.2. Рассчитать ставку капитализации. На дату оценки срок </t>
    </r>
    <r>
      <rPr>
        <b/>
        <sz val="14"/>
        <color rgb="FFFF0000"/>
        <rFont val="Calibri"/>
        <family val="2"/>
        <charset val="204"/>
        <scheme val="minor"/>
      </rPr>
      <t>физической</t>
    </r>
    <r>
      <rPr>
        <b/>
        <sz val="14"/>
        <color theme="1"/>
        <rFont val="Calibri"/>
        <family val="2"/>
        <charset val="204"/>
        <scheme val="minor"/>
      </rPr>
      <t xml:space="preserve"> жизни здания составлял 15 лет, </t>
    </r>
    <r>
      <rPr>
        <b/>
        <sz val="14"/>
        <color rgb="FFFF0000"/>
        <rFont val="Calibri"/>
        <family val="2"/>
        <charset val="204"/>
        <scheme val="minor"/>
      </rPr>
      <t>эффективный</t>
    </r>
    <r>
      <rPr>
        <b/>
        <sz val="14"/>
        <color theme="1"/>
        <rFont val="Calibri"/>
        <family val="2"/>
        <charset val="204"/>
        <scheme val="minor"/>
      </rPr>
      <t xml:space="preserve"> возраст объекта - 30 лет. Полный срок </t>
    </r>
    <r>
      <rPr>
        <b/>
        <sz val="14"/>
        <color rgb="FFFF0000"/>
        <rFont val="Calibri"/>
        <family val="2"/>
        <charset val="204"/>
        <scheme val="minor"/>
      </rPr>
      <t>экономической</t>
    </r>
    <r>
      <rPr>
        <b/>
        <sz val="14"/>
        <color theme="1"/>
        <rFont val="Calibri"/>
        <family val="2"/>
        <charset val="204"/>
        <scheme val="minor"/>
      </rPr>
      <t xml:space="preserve"> жизни объекта - 60 лет. Безрисковая ставка инвестирования 6%, срок рыночной экспозиции объекта 3 месяца, премия за риск вложения в недвижимость - 4%, премия за инвестиционный менеджмент - 3%, средняя ставка кредитования по залог аналогичных объектов - 12%. Возврат инвестиций осуществляется по методу Инвуда. Результат округлить до сотых долей процента.</t>
    </r>
  </si>
  <si>
    <t>3.2.3.4. Чистый операционный доход от единого объекта недвижимости составляет 300 000 руб. в год, Затраты на замещение для улучшений с учетом износа и устареваний в текущих ценах составляют 600 000 руб., коэффициенты капитализации для земли и улучшений составляют 10% и 15% соответственно. Рассчитать ЧОД от земельного участка.</t>
  </si>
  <si>
    <t>3.2.3.5. Рассчитайте рыночную стоимость земельного участка методом остатка, если известно, что рыночная стоимость единого готового объекта недвижимости, который в соответствии с принципом НЭИ на нем целесообразно построить, составляет 2 000 000 руб., прямые затраты на строительство составляют 500 000 руб., косвенные издержки, в том числе проценты по кредитам - 20% от величины прямых затрат на строительство, сумма кредита составит 300 000 руб., среднерыночная прибыль девелопера при реализации подобных проектов - 25% от стоимости готового объекта. Результат округлить до тысяч рублей.</t>
  </si>
  <si>
    <t>3.2.3.7. Рассчитать ставку капитализации, если объект недвижимости был продан за 1 млн руб., потенциальный валовый доход составляет 200 тыс. руб. в год, действительный валовый доход – 190 тыс. руб. в год, чистый операционный доход – 150 тыс. руб. в год. Результат округлить до процентов.</t>
  </si>
  <si>
    <r>
      <t xml:space="preserve">3.2.3.8. Оценить рыночную стоимость недвижимости, чистый операционный доход которой в течение ближайших 6 лет составит – 35000 д.е. в год. В конце шестого года планируется продажа объекта за 220 000 д.е. Объект был приобретён с привлечением кредита в сумме 100 000 д.е. на срок 10 лет под </t>
    </r>
    <r>
      <rPr>
        <b/>
        <sz val="14"/>
        <color rgb="FFFF0000"/>
        <rFont val="Calibri"/>
        <family val="2"/>
        <charset val="204"/>
        <scheme val="minor"/>
      </rPr>
      <t>12%</t>
    </r>
    <r>
      <rPr>
        <b/>
        <sz val="14"/>
        <color theme="1"/>
        <rFont val="Calibri"/>
        <family val="2"/>
        <charset val="204"/>
        <scheme val="minor"/>
      </rPr>
      <t xml:space="preserve"> годовых с ежегодными выплатами в конце периода. Требуемая инвестором ставка дохода на вложенный собственный капитал </t>
    </r>
    <r>
      <rPr>
        <b/>
        <sz val="14"/>
        <color rgb="FFFF0000"/>
        <rFont val="Calibri"/>
        <family val="2"/>
        <charset val="204"/>
        <scheme val="minor"/>
      </rPr>
      <t>15%</t>
    </r>
    <r>
      <rPr>
        <b/>
        <sz val="14"/>
        <color theme="1"/>
        <rFont val="Calibri"/>
        <family val="2"/>
        <charset val="204"/>
        <scheme val="minor"/>
      </rPr>
      <t>.</t>
    </r>
  </si>
  <si>
    <t>3.2.3.9. Какая максимальная сумма может быть уплачена за здание на текущий момент, если предполагается, что через 4 года оно может быть продано не дороже чем за 2,8 млн. руб. В течение этих 4 лет доходы от здания позволят только покрывать расходы по его обслуживанию, а требуемая норма доходности для подобных проектов составляет 26% годовых (дисконтирование на конец периода). Среднерыночная ставка кредитования для аналогичных инвестиций составляет 18%. Результат округлить до тысяч рублей.</t>
  </si>
  <si>
    <t>3.2.3.12. Рассчитайте ставку капитализации для земли, если рыночная стоимость единого объекта недвижимости составляет 2 млн. руб., стоимость замещения улучшений с учетом износа и устареваний составляет 1,5 млн. руб, арендный доход, приносимый единым объектом недвижимости, составляет 200 тыс. руб./год а ставка капитализации для улучшений составляет 12%. Результат округлить до целых %.</t>
  </si>
  <si>
    <t>3.2.3.18. Определить рыночную стоимость единого объекта недвижимости. Стоимость земельного участка 110 000 руб. Годовой чистый операционный доход от улучшений 55 000 руб. Норма доходности 13%. Норму возврата определить по методу Хоскольда при том, что оставшийся срок экономической жизни 35 лет, безрисковая ставка 8%.</t>
  </si>
  <si>
    <t>Ставка дисконтирования (доходность)</t>
  </si>
  <si>
    <t>ОСЭЖ, лет</t>
  </si>
  <si>
    <t>Общая площадь, кв.м.</t>
  </si>
  <si>
    <t>Арендопригодная площадь, кв.м.</t>
  </si>
  <si>
    <t>Якоря:</t>
  </si>
  <si>
    <t>Арендуемая площадь, кв.м.</t>
  </si>
  <si>
    <t>Арендная ставка</t>
  </si>
  <si>
    <t>Компенсация ОР, всего</t>
  </si>
  <si>
    <t>ДВД + компенсация ОР</t>
  </si>
  <si>
    <t>ПВД =ДВД</t>
  </si>
  <si>
    <t>ОР собственника, за кв.м.</t>
  </si>
  <si>
    <t>ОР собственника, от общей</t>
  </si>
  <si>
    <t>Ставка капитализации реверсии</t>
  </si>
  <si>
    <t>Денежные потоки по годам</t>
  </si>
  <si>
    <t>Рынок:</t>
  </si>
  <si>
    <t>Выручка от продажи</t>
  </si>
  <si>
    <t>Затраты на продажу</t>
  </si>
  <si>
    <t>Рыночная стоимость ЗУ</t>
  </si>
  <si>
    <t>3.2.3.25. Рыночная стоимость расположенного на земельном участке здания составляет 3 млн руб., оставшийся срок его экономической жизни 25 лет. Норма возврата капитала определяется по методу Ринга. Ставка дисконтирования составляет 18%. Чистый операционный доход от единого объекта недвижимости в первый год эксплуатации составил 700 тыс. руб. Определите рыночную стоимость земельного участка.</t>
  </si>
  <si>
    <t>РС Здания</t>
  </si>
  <si>
    <t>Ставка капитализации для Здания</t>
  </si>
  <si>
    <t>ЧОД Здания</t>
  </si>
  <si>
    <t>Цена продажи аналога</t>
  </si>
  <si>
    <t>Площадь аналога больше на</t>
  </si>
  <si>
    <t>Цена дополнительного метра</t>
  </si>
  <si>
    <t>Гараж</t>
  </si>
  <si>
    <t>Корректировка на площадь</t>
  </si>
  <si>
    <t>РС объекта оценки</t>
  </si>
  <si>
    <t>3.2.2.2. Определить рыночную стоимость 5-х звёздочной гостиницы с годовым ЧОД 1 300 000 руб. Аналог 1: 5-х звёздочная гостиница продана за 8 400 000 руб., её годовой ЧОД составлял 900 000 руб. Аналог 2: 3-х звёздочная гостиница продана за 8 000 000 руб., её годовой ЧОД составлял 1 200 000 руб.</t>
  </si>
  <si>
    <t>ЧОД объекта</t>
  </si>
  <si>
    <t>ЧОД аналога</t>
  </si>
  <si>
    <t>РС аналога</t>
  </si>
  <si>
    <t>Коэффициент капитализации</t>
  </si>
  <si>
    <t>3.2.2.3. Влияние общей площади на стоимость квартиры описывается зависимостью C = 500 – 2*S. Площадь аналога 70 кв.м., объекта оценки – 50 кв.м. Определить величину корректировки на разницу в площади (в процентах, с учетом знака).</t>
  </si>
  <si>
    <t>Площадь ОО</t>
  </si>
  <si>
    <t>Площадь ОА</t>
  </si>
  <si>
    <t>Стоимость ОО</t>
  </si>
  <si>
    <t>Стоимость ОА</t>
  </si>
  <si>
    <t>Корректировка</t>
  </si>
  <si>
    <t>Корректирующий коэффициент</t>
  </si>
  <si>
    <t>3.2.2.4. Объект продан 6 мес. назад. Рост цен 2% в мес. какую нужно сделать корректировку в % (со знаком).</t>
  </si>
  <si>
    <t>Количество периодов</t>
  </si>
  <si>
    <t>Рост в месяц</t>
  </si>
  <si>
    <t>Цена аналога, руб./кв.м.</t>
  </si>
  <si>
    <t>Объект оценки дешевле аналога на 30%</t>
  </si>
  <si>
    <t>ОО</t>
  </si>
  <si>
    <t>ОА</t>
  </si>
  <si>
    <t>Корректирующий коэфф. (ОО/ОА)</t>
  </si>
  <si>
    <t>Скорректированная цена аналога</t>
  </si>
  <si>
    <t>РС здания без дебаркадера</t>
  </si>
  <si>
    <t>Цена дебаркадера</t>
  </si>
  <si>
    <t>РС здания с дебаркадером</t>
  </si>
  <si>
    <t>Предложение</t>
  </si>
  <si>
    <t>Сделка</t>
  </si>
  <si>
    <t>Скидка на торг</t>
  </si>
  <si>
    <t>Аналог 2</t>
  </si>
  <si>
    <t>3.2.2.8. Найти коэффициент уторгования для торгового помещения, расположенного на 1 этаже. Даны следующие данные для расчета:
- офисное помещение на 2 этаже. Продавалось за 1,2 млн. руб., было продано за 980 тыс. руб.;
- торговое помещение на 1 этаже. Продавалось за 2,2 млн. руб., было продано за 1,6 млн. руб.;
- магазин на 1 этаже. Продавался за 600 тыс. руб., был продан за 600 тыс. руб.;
- помещения фитнес центра. Продавался за 2 млн. руб., был продан за 1,9 млн. руб.;
- помещения супермаркета на 1 этаже. Продавался за 2 млн. руб., был продан за 1,7 млн. руб.</t>
  </si>
  <si>
    <t>Аналог 3</t>
  </si>
  <si>
    <t>Аналог 5</t>
  </si>
  <si>
    <t>Строительство офиса</t>
  </si>
  <si>
    <t>Строительство ТЦ</t>
  </si>
  <si>
    <t>Строительство станции с производственного объекта с торговыми площадям</t>
  </si>
  <si>
    <t>Строительство автозаправочной станции с объектами придорожного сервиса</t>
  </si>
  <si>
    <t>Разрешенное использование</t>
  </si>
  <si>
    <t>Цена предлож.</t>
  </si>
  <si>
    <t>Площадь, га</t>
  </si>
  <si>
    <t>Категория</t>
  </si>
  <si>
    <t>НП</t>
  </si>
  <si>
    <t>ПРОМ</t>
  </si>
  <si>
    <t>Объект</t>
  </si>
  <si>
    <t>Цена</t>
  </si>
  <si>
    <t>Скорректированная цена</t>
  </si>
  <si>
    <t>Площадь</t>
  </si>
  <si>
    <t>Цена за 1 га</t>
  </si>
  <si>
    <t>Среднее</t>
  </si>
  <si>
    <t>ОО (класс В)</t>
  </si>
  <si>
    <t>ОА (класс С)</t>
  </si>
  <si>
    <t>Местоположение</t>
  </si>
  <si>
    <t>Отделка</t>
  </si>
  <si>
    <t>Класс С дешевле класса В на 25%</t>
  </si>
  <si>
    <t>КК</t>
  </si>
  <si>
    <t>центр</t>
  </si>
  <si>
    <t>окраина</t>
  </si>
  <si>
    <t>Центр лучше окраины на 14%</t>
  </si>
  <si>
    <t>Евро</t>
  </si>
  <si>
    <t>Простая</t>
  </si>
  <si>
    <t>Евро лучше простой на 16%</t>
  </si>
  <si>
    <t xml:space="preserve">РС 1 кв.м. </t>
  </si>
  <si>
    <t>Удельник</t>
  </si>
  <si>
    <t>Аналог</t>
  </si>
  <si>
    <t>Здание без ремонта</t>
  </si>
  <si>
    <t>Здание с ремонтом</t>
  </si>
  <si>
    <t>Корректировка на ремонт</t>
  </si>
  <si>
    <r>
      <t xml:space="preserve">3.2.2.15. Определить рыночную стоимость двухэтажного офисного здания площадью 1000 кв.м, </t>
    </r>
    <r>
      <rPr>
        <b/>
        <sz val="14"/>
        <color rgb="FFFF0000"/>
        <rFont val="Calibri"/>
        <family val="2"/>
        <charset val="204"/>
        <scheme val="minor"/>
      </rPr>
      <t>требующее</t>
    </r>
    <r>
      <rPr>
        <b/>
        <sz val="14"/>
        <color theme="1"/>
        <rFont val="Calibri"/>
        <family val="2"/>
        <charset val="204"/>
        <scheme val="minor"/>
      </rPr>
      <t xml:space="preserve"> косметического ремонта. Имеется аналог - двухэтажное офисное здание площадью 800 кв. м, в котором </t>
    </r>
    <r>
      <rPr>
        <b/>
        <sz val="14"/>
        <color rgb="FFFF0000"/>
        <rFont val="Calibri"/>
        <family val="2"/>
        <charset val="204"/>
        <scheme val="minor"/>
      </rPr>
      <t>проведен</t>
    </r>
    <r>
      <rPr>
        <b/>
        <sz val="14"/>
        <color theme="1"/>
        <rFont val="Calibri"/>
        <family val="2"/>
        <charset val="204"/>
        <scheme val="minor"/>
      </rPr>
      <t xml:space="preserve"> косметический ремонт. Аналог был продан за 600 000 руб. Для решения данной задачи предположить, что различие в площадях влияния на удельную стоимость не оказывает. Имеются также следующие данные по парным продажам для расчета абсолютной корректировки на состояние:
Одноэтажное кирпичное офисное здание 200 кв.м, Требуется косметический ремонт, цена 120 000руб.
Одноэтажное кирпичное офисное здание 400 кв.м, Проведен косметический ремонт, 260 000руб.</t>
    </r>
  </si>
  <si>
    <t>Стоимость объекта оценки</t>
  </si>
  <si>
    <t>Жилые площади</t>
  </si>
  <si>
    <t>Аналог Б</t>
  </si>
  <si>
    <t>Аналог Г</t>
  </si>
  <si>
    <t>ЗУ, га</t>
  </si>
  <si>
    <t>Жилых площадей на одном га</t>
  </si>
  <si>
    <t>Скорректированная цена за 1 га</t>
  </si>
  <si>
    <t>Таблица №1</t>
  </si>
  <si>
    <t>Параметр</t>
  </si>
  <si>
    <t>ОА1</t>
  </si>
  <si>
    <t>ОА2</t>
  </si>
  <si>
    <t>ОА3</t>
  </si>
  <si>
    <t>Тип</t>
  </si>
  <si>
    <t>Квартира</t>
  </si>
  <si>
    <t>Апартаменты</t>
  </si>
  <si>
    <t>Количество комнат</t>
  </si>
  <si>
    <t>Класс</t>
  </si>
  <si>
    <t>Эконом</t>
  </si>
  <si>
    <t>Комфорт</t>
  </si>
  <si>
    <t>ЮВАО</t>
  </si>
  <si>
    <t>СВАО</t>
  </si>
  <si>
    <t>Стадия строительства</t>
  </si>
  <si>
    <r>
      <t xml:space="preserve">Цена предложения, руб./кв.м. </t>
    </r>
    <r>
      <rPr>
        <sz val="14"/>
        <color rgb="FFFF0000"/>
        <rFont val="Calibri"/>
        <family val="2"/>
        <charset val="204"/>
        <scheme val="minor"/>
      </rPr>
      <t>общей</t>
    </r>
  </si>
  <si>
    <t>Корректировки</t>
  </si>
  <si>
    <t xml:space="preserve"> - на уторгование</t>
  </si>
  <si>
    <t xml:space="preserve"> - на тип недвижимости</t>
  </si>
  <si>
    <t xml:space="preserve"> - на количество комнат</t>
  </si>
  <si>
    <t xml:space="preserve"> - на класс объекта</t>
  </si>
  <si>
    <t xml:space="preserve"> - на местоположение</t>
  </si>
  <si>
    <t xml:space="preserve"> - на стадию</t>
  </si>
  <si>
    <t>Таблица №2 Средние цены на квартиры и апартаменты по округам</t>
  </si>
  <si>
    <t>Округ</t>
  </si>
  <si>
    <t>Квартиры, 
руб./кв.м.</t>
  </si>
  <si>
    <t>Апартаменты, 
руб./кв.м.</t>
  </si>
  <si>
    <t>ВАО</t>
  </si>
  <si>
    <t>Таблица №3 Средние цены на квартиры по классам (при прочих равных условиях)</t>
  </si>
  <si>
    <t>Средняя цена, 
руб./кв.м.</t>
  </si>
  <si>
    <t>Бизнес</t>
  </si>
  <si>
    <t>Таблица №4 Скидка к цене за кв.м. в зависимости от стадии готовности дома</t>
  </si>
  <si>
    <t>Стадия</t>
  </si>
  <si>
    <t>корректировка относительно последующей стадии</t>
  </si>
  <si>
    <t>Начаты земляные работы</t>
  </si>
  <si>
    <t>Начато строительство наземной части</t>
  </si>
  <si>
    <t>Введен в эксплуатацию</t>
  </si>
  <si>
    <t>Таблица №5 Скидка к цене в зависимости от количества комнат (при прочих равных условиях)</t>
  </si>
  <si>
    <t>Скидка относительно 1-комнатной квартиры</t>
  </si>
  <si>
    <t>ТОРГ</t>
  </si>
  <si>
    <t>Корректировка на торг</t>
  </si>
  <si>
    <t>ТИП</t>
  </si>
  <si>
    <t>квартира</t>
  </si>
  <si>
    <t>апартаменты</t>
  </si>
  <si>
    <t>Значение параметра</t>
  </si>
  <si>
    <t>Корректировка на тип</t>
  </si>
  <si>
    <t>Комнаты</t>
  </si>
  <si>
    <t>Отн. Ст.</t>
  </si>
  <si>
    <t>КОЛИЧЕСТВО КОМНАТ</t>
  </si>
  <si>
    <t>Корректировка на количество комнат</t>
  </si>
  <si>
    <t>КЛАСС</t>
  </si>
  <si>
    <t>Корректировка на класс</t>
  </si>
  <si>
    <t>МЕСТО</t>
  </si>
  <si>
    <t>Корректировка на место</t>
  </si>
  <si>
    <t>СТАДИЯ</t>
  </si>
  <si>
    <t>Корректировка на стадию</t>
  </si>
  <si>
    <t>Итоговый корректирующий коэфф.</t>
  </si>
  <si>
    <t>Цена предложения</t>
  </si>
  <si>
    <t>Вес аналога</t>
  </si>
  <si>
    <t>или</t>
  </si>
  <si>
    <t>Средневзвешенная стоимость 1 кв.м.</t>
  </si>
  <si>
    <t>Округлённо</t>
  </si>
  <si>
    <t>3.2.1.1. В 2010 году компания А приобрела и смонтировала зарегистрированный объект недвижимости – наливную эстакаду за 4 000 руб. (с учетом всех косвенных расходов и без учета НДС). Срок службы эстакады – 16 лет. В 2014 году компания А передала объект на баланс дочерней компании Б по остаточной стоимости.
Все данные в условии задачи приведены на середину года. Индекс изменения цен (к базовому ХХ году, на середину года):
2009 - 84; 2010 - 85; 2011 - 87; 2012 - 98; 2013 - 103; 2014 - 116; 2015 - 117; 2016 - 118; 2017 - 119
С использованием приведенных данных определите рыночную стоимость данной эстакады по состоянию на 2017 год (с учетом косвенных расходов и без учета НДС, округленно). Экономическое и функциональное устаревание, прибыль предпринимателя принять равными нулю. Результат округлить до рублей.</t>
  </si>
  <si>
    <t>Цена приобретения</t>
  </si>
  <si>
    <t>Дата оценки</t>
  </si>
  <si>
    <t>Дата приобретения</t>
  </si>
  <si>
    <t>Индекс 2010</t>
  </si>
  <si>
    <t>Индекс 2017</t>
  </si>
  <si>
    <t>Срок службы, лет</t>
  </si>
  <si>
    <t>Индекс удорожания</t>
  </si>
  <si>
    <t>Возраст эстакады на дату оценки</t>
  </si>
  <si>
    <t>3.2.1.2. Физический износ объекта оценки составляет 10%, функциональное устаревание составляет 15%, внешнее устаревание составляет 5%. Сколько составляет накопленный износ, определяемый мультипликативным методом?</t>
  </si>
  <si>
    <t>Физический износ</t>
  </si>
  <si>
    <t>Функциональное устаревание</t>
  </si>
  <si>
    <t>Внешнее устаревание</t>
  </si>
  <si>
    <t>Накопленный износ</t>
  </si>
  <si>
    <t>ЧОД до ухудшения ситуации</t>
  </si>
  <si>
    <t>ЧОД после ухудшения ситуации</t>
  </si>
  <si>
    <t>Доля земельного участка</t>
  </si>
  <si>
    <t>Падение дохода за метр</t>
  </si>
  <si>
    <t>Падение дохода всего в год</t>
  </si>
  <si>
    <t>Внешний износ ЕОН</t>
  </si>
  <si>
    <t>Внешний износ Здания</t>
  </si>
  <si>
    <t>Цена резервуара</t>
  </si>
  <si>
    <t>Объем резервуара</t>
  </si>
  <si>
    <t>Коэффициент торможения</t>
  </si>
  <si>
    <t>Затраты на создание резервуара</t>
  </si>
  <si>
    <t>LN(OA1/OA2)</t>
  </si>
  <si>
    <t>LN(OA2/OA1)</t>
  </si>
  <si>
    <t>Доставка и монтаж</t>
  </si>
  <si>
    <t>Остаточный срок службы</t>
  </si>
  <si>
    <t>Полный срок жизни</t>
  </si>
  <si>
    <t>Износ</t>
  </si>
  <si>
    <t>Суть задачи глобально:</t>
  </si>
  <si>
    <t>ЗУ дом &gt; ЗУ офис</t>
  </si>
  <si>
    <t>РС ЕОН = Девелопмент + ПП + ЗУ</t>
  </si>
  <si>
    <t>Офис</t>
  </si>
  <si>
    <t>Ставка аренды, руб./кв.м./год</t>
  </si>
  <si>
    <t>ОР</t>
  </si>
  <si>
    <t>ОР,  руб./кв.м./год арендопригодной</t>
  </si>
  <si>
    <t>ПП от цены продажи</t>
  </si>
  <si>
    <t>ЗУ офис</t>
  </si>
  <si>
    <t>Жильё</t>
  </si>
  <si>
    <t>Продаваемая площадь</t>
  </si>
  <si>
    <t>Цена продажи, руб./кв.м. продаваемой</t>
  </si>
  <si>
    <t>ПП, от выручки от продажи</t>
  </si>
  <si>
    <t>РС ЕОН - Девелопмент - ПП &gt; ЗУ офис</t>
  </si>
  <si>
    <t>РС ЕОН - ПП - ЗУ офис &gt; Девелопмент</t>
  </si>
  <si>
    <t>&gt; Девелопмент (всего)</t>
  </si>
  <si>
    <t>Объем</t>
  </si>
  <si>
    <t>Объем, куб.м.</t>
  </si>
  <si>
    <t>Масса, кг</t>
  </si>
  <si>
    <t>Стоимость изготовления, руб./кг.</t>
  </si>
  <si>
    <t>Стоимость доставки</t>
  </si>
  <si>
    <t>Монтаж</t>
  </si>
  <si>
    <t>Выемка грунта, руб./куб.м.</t>
  </si>
  <si>
    <t>Оставшийся срок службы, лет</t>
  </si>
  <si>
    <t>Изготовление</t>
  </si>
  <si>
    <t>Доставка</t>
  </si>
  <si>
    <t>Выемка грунта</t>
  </si>
  <si>
    <t>Суммарные затраты</t>
  </si>
  <si>
    <t>РС с округлением</t>
  </si>
  <si>
    <t>3.2.1.8. Определить рыночную стоимость земельного участка, на котором расположено отдельно стоящее здание. Стоимость единого объекта недвижимости составляет 12 500 000 руб. Затраты на воспроизводство для здания без учета износов и устареваний составляют 10 000 000 руб., физический износ оценивается в 1 000 000 руб., функциональное устаревание - 500 000 руб. (других видов износов и устареваний не выявлено). Модель расчета совокупного износа и устареваний - аддитивная. Прибыль предпринимателя принять равной нулю. Рыночную стоимость земельного участка округлить до тысяч рублей. Варианты ответов:</t>
  </si>
  <si>
    <t>Затраты на здание</t>
  </si>
  <si>
    <t>РС здания</t>
  </si>
  <si>
    <t>3.2.1.9. Определить рыночную стоимость объекта недвижимости по состоянию на 2017 год (на середину периода).
Затраты на строительство данного объекта недвижимости в 2010 году составили 1 000 000 руб. Срок жизни 70 лет.
Индексы роста цен (на середину периода):
2009 - 83; 2010 - 85; 2011 - 92; 2012 - 95; 2013 - 101; 2014 - 106; 2015 - 110; 2016 - 115; 2017 - 119.</t>
  </si>
  <si>
    <t>Дата постройки</t>
  </si>
  <si>
    <t>Индекс на 2010</t>
  </si>
  <si>
    <t>Индекс на 2017</t>
  </si>
  <si>
    <t>Срок жизни, лет</t>
  </si>
  <si>
    <t>Возраст</t>
  </si>
  <si>
    <t>Цена постройки</t>
  </si>
  <si>
    <t>Индекс удорожания 2010-2017</t>
  </si>
  <si>
    <t>Затраты на воспроизводство</t>
  </si>
  <si>
    <t>Протяженность, км</t>
  </si>
  <si>
    <t>Стоимость трубы, руб./т.</t>
  </si>
  <si>
    <t>Масса трубы, т./км.</t>
  </si>
  <si>
    <t>Индекс</t>
  </si>
  <si>
    <t>СМР, руб./км.</t>
  </si>
  <si>
    <t>Полный срок службы, лет</t>
  </si>
  <si>
    <t>Масса трубы, т.</t>
  </si>
  <si>
    <t>Стоимость трубы, руб.</t>
  </si>
  <si>
    <t>Стоимость трубы, руб. с учетом индекса</t>
  </si>
  <si>
    <t>СМР, руб.</t>
  </si>
  <si>
    <t>Затраты на воспроизводство, руб.</t>
  </si>
  <si>
    <t>Наименование</t>
  </si>
  <si>
    <t>Материал</t>
  </si>
  <si>
    <t>Административно-бытовой корпус</t>
  </si>
  <si>
    <t>Склад для хранения пиломатериалов</t>
  </si>
  <si>
    <t>Склад готовой продукции для 
деревообрабатывающих предприятий</t>
  </si>
  <si>
    <t>Цех для производства технологических 
брикетов из коры</t>
  </si>
  <si>
    <t>ж/б</t>
  </si>
  <si>
    <t>кирпич</t>
  </si>
  <si>
    <t>сэндвич</t>
  </si>
  <si>
    <t>Отношение объема ОО к ОА</t>
  </si>
  <si>
    <t>0,30 - 0,49</t>
  </si>
  <si>
    <t>0,50 - 0,79</t>
  </si>
  <si>
    <t>0,80 - 1,20</t>
  </si>
  <si>
    <t>1,21 - 2,00</t>
  </si>
  <si>
    <t>свыше 2</t>
  </si>
  <si>
    <t>Поправка</t>
  </si>
  <si>
    <t>Поправка на объем</t>
  </si>
  <si>
    <t>Регионально-экономическая корректировка по материалу стен</t>
  </si>
  <si>
    <t>Регион</t>
  </si>
  <si>
    <t>Кирпич</t>
  </si>
  <si>
    <t>дерево</t>
  </si>
  <si>
    <t>Москва</t>
  </si>
  <si>
    <t>Московская область</t>
  </si>
  <si>
    <t>Саратовская область</t>
  </si>
  <si>
    <t>Томская область</t>
  </si>
  <si>
    <t>Индексы цен в строительстве по РФ по отношению к некому базовому году</t>
  </si>
  <si>
    <t>Конструкции из …</t>
  </si>
  <si>
    <t>… кирпича</t>
  </si>
  <si>
    <t>… ж/б панелей</t>
  </si>
  <si>
    <t>… сэндвич-панелей</t>
  </si>
  <si>
    <t>… древесины</t>
  </si>
  <si>
    <t>Строительный объём, куб.м.</t>
  </si>
  <si>
    <t>Аналог, руб./куб.м.</t>
  </si>
  <si>
    <t>Объём аналога, куб.м.</t>
  </si>
  <si>
    <t>Отношение объёмов ОО/ОА</t>
  </si>
  <si>
    <t>Поправка на объём</t>
  </si>
  <si>
    <t>Региональная корректировка</t>
  </si>
  <si>
    <t>ОО (Саратов) / ОА (Московская область)</t>
  </si>
  <si>
    <t>Индекс на 2014</t>
  </si>
  <si>
    <t>Индекс на 2016</t>
  </si>
  <si>
    <t>Индекс удорожания 2014-2016</t>
  </si>
  <si>
    <t>Эффективный возраст, лет</t>
  </si>
  <si>
    <t>3.2.1.13. Оценивается здание, незавершенное строительством, у которого возведены фундамент, стены и 40% перекрытий. Оценщик нашел информацию по удельным весам конструктивных элементов аналогичного построенного здания: фундамент – 10%; стены – 15%; перекрытия – 20%; крыша – 15%; прочие элементы –40%. Определите удельный вес перекрытий в восстановительной стоимости объекта оценки.</t>
  </si>
  <si>
    <t>Фундамент</t>
  </si>
  <si>
    <t>Удельный вес</t>
  </si>
  <si>
    <t>Готовность</t>
  </si>
  <si>
    <t>Вес в стоимости</t>
  </si>
  <si>
    <t>Вес по факту</t>
  </si>
  <si>
    <t>Стены</t>
  </si>
  <si>
    <t>Перекрытия</t>
  </si>
  <si>
    <t>Крыша</t>
  </si>
  <si>
    <t>Прочие</t>
  </si>
  <si>
    <t>ИТОГО:</t>
  </si>
  <si>
    <t>3.2.1.17. Рыночная стоимость единого объекта недвижимости составляет 10 000 000 руб. Затраты на воспроизводство составляют 8 000 000 руб. Физический износ 20%, функциональное устаревание 10%. Определить рыночную стоимость прав на земельный участок при аддитивной модели определения совокупного износа.</t>
  </si>
  <si>
    <t>Решение 1:</t>
  </si>
  <si>
    <t>Суммарный износ</t>
  </si>
  <si>
    <t>Решение 2:</t>
  </si>
  <si>
    <t>ДВД + компенсация ОР (якоря + рынок)</t>
  </si>
  <si>
    <t>Арендопригодная</t>
  </si>
  <si>
    <t>ДВД = ЧОД (расходы несут арендаторы)</t>
  </si>
  <si>
    <t>РС ЕОН - Девелопмент - ЗУ офис &gt; ПП</t>
  </si>
  <si>
    <t>&gt; ПП</t>
  </si>
  <si>
    <t>&gt; ПП (В процентах от выручки от продажи, т.е. от РС ЕОН)</t>
  </si>
  <si>
    <t>Решается аналогично 3.2.1.6.</t>
  </si>
  <si>
    <t>Затраты</t>
  </si>
  <si>
    <t>LN</t>
  </si>
  <si>
    <t>b</t>
  </si>
  <si>
    <t>Коэффициент доставки и монтажа</t>
  </si>
  <si>
    <t>Затраты с доставкой и монтажом</t>
  </si>
  <si>
    <t>ЗУ = РС ЕОН - Девелопмент - ПП</t>
  </si>
  <si>
    <t>Девелопмент, руб./кв.м. общей</t>
  </si>
  <si>
    <t>Девелопмент</t>
  </si>
  <si>
    <t>Девелопмент от общей, руб./кв.м.</t>
  </si>
  <si>
    <t>3.2.2.9. Рассчитать стоимость арендной ставки по состоянию на начало 2017 года. Известно, что величина арендной ставки по состоянию на начало 2003 года составляла 1000 руб., индекс перехода цен с 2003 по 2005 год составляет 1,54. Индекс перехода цен с 2005 по 2017г. составил 2,56.</t>
  </si>
  <si>
    <t>Индекс 2003-2005</t>
  </si>
  <si>
    <t>Индекс 2005-2017</t>
  </si>
  <si>
    <t>Арендная ставка в 2003 году</t>
  </si>
  <si>
    <t>Арендная ставка в 2017 году</t>
  </si>
  <si>
    <r>
      <t>Ставка аренды, руб./кв.м./</t>
    </r>
    <r>
      <rPr>
        <sz val="14"/>
        <color rgb="FFFF0000"/>
        <rFont val="Calibri"/>
        <family val="2"/>
        <charset val="204"/>
        <scheme val="minor"/>
      </rPr>
      <t>мес.</t>
    </r>
  </si>
  <si>
    <r>
      <t>Возмещение ОР, руб./кв.м./</t>
    </r>
    <r>
      <rPr>
        <sz val="14"/>
        <color rgb="FFFF0000"/>
        <rFont val="Calibri"/>
        <family val="2"/>
        <charset val="204"/>
        <scheme val="minor"/>
      </rPr>
      <t>мес.</t>
    </r>
  </si>
  <si>
    <t>Может быть в год</t>
  </si>
  <si>
    <t>Валовый доход</t>
  </si>
  <si>
    <t>3.2.2.14. Оценщиком обнаружен аналог, который продается в рассрочку на 5 лет под 10%, выплаты в конце года, данный процент ниже рыночного. Рыночная ставка по кредиту 13%. Рассчитать корректировку на способ финансирования, если объект оценки продается при условии моментальной оплаты.</t>
  </si>
  <si>
    <t>Годовые проценты</t>
  </si>
  <si>
    <t>Ежегодный платёж в погашение</t>
  </si>
  <si>
    <t>Приравниваем платежи ОО и ОА</t>
  </si>
  <si>
    <t>Что можно купить при этих платежах?</t>
  </si>
  <si>
    <t>Платёж</t>
  </si>
  <si>
    <t>Какой кредит дадут?</t>
  </si>
  <si>
    <t>3.2.2.16. Рассчитайте валовый рентный мультипликатор для объекта недвижимости, если он был продан за 0.8 млн руб., полностью сдан в аренду и арендный доход составляет 200 тыс. руб., чистый операционный доход -150 тыс. руб., чистая прибыль -100 тыс. руб. Результат округлить до десятых.</t>
  </si>
  <si>
    <t>Чистая прибыль</t>
  </si>
  <si>
    <t>ЮЗАО</t>
  </si>
  <si>
    <r>
      <t xml:space="preserve">3.2.2.17. КВАРТИРА. Определите рыночную стоимость однокомнатной квартиры общей площадью 43 кв. м, жилая площадь 22 кв. м, расположенной в завершенном строительстве доме в ЮВАО. Использовать для расчета все аналоги, приведенные в расчетной таблице. В таблицах ниже приведены данные для определения корректировок. Кроме указанных в таблице 1 не требуются иные корректировки. Использовать данные таблицы ниже для расчета относительных корректировок. При взвешивании аналогам присвоить равные веса. Скидка на переход </t>
    </r>
    <r>
      <rPr>
        <b/>
        <sz val="14"/>
        <color rgb="FFFF0000"/>
        <rFont val="Calibri"/>
        <family val="2"/>
        <charset val="204"/>
        <scheme val="minor"/>
      </rPr>
      <t>от цен сделок к ценам предложений</t>
    </r>
    <r>
      <rPr>
        <b/>
        <sz val="14"/>
        <color theme="1"/>
        <rFont val="Calibri"/>
        <family val="2"/>
        <charset val="204"/>
        <scheme val="minor"/>
      </rPr>
      <t xml:space="preserve"> 7%.</t>
    </r>
  </si>
  <si>
    <t>3.2.2.18. На 01.01.2005 арендная ставка была 200 р. За период с 01.01.2005 по 31.12.2016 арендные ставки выросли на 128%. За период с 01.01.2010 по 31.12.2016 на 37%. Найти арендную ставку на 01.01.2010.</t>
  </si>
  <si>
    <t>Рост цен с 01.01.2005 по 31.12.2016 на</t>
  </si>
  <si>
    <t>Рост цен с 01.01.2010 по 31.12.2016 на</t>
  </si>
  <si>
    <t>Арендная ставка на 01.01.2005</t>
  </si>
  <si>
    <t>Арендная ставка на 01.01.2010</t>
  </si>
  <si>
    <t>Строительство производственного объекта с офисными площадями</t>
  </si>
  <si>
    <t>Строительство гостиницы</t>
  </si>
  <si>
    <t>Аналог 1</t>
  </si>
  <si>
    <t>От безрисковой</t>
  </si>
  <si>
    <t>От ставки дисконтирования</t>
  </si>
  <si>
    <t>Загрузка, %</t>
  </si>
  <si>
    <t>Доходность на собственный капитал</t>
  </si>
  <si>
    <t>Рыночная арендная плата, руб./кв.м.</t>
  </si>
  <si>
    <t>Вакантная площадь</t>
  </si>
  <si>
    <t>3.2.3.17. Рыночная ставка аренды для торгового помещения на начало 2003 года составляла 100 руб. Индекс изменения рыночных ставок аренды для соответствующего сегмента рынка недвижимости с начала 2001 года по начало 2017 года составил 3.54. Индекс изменения рыночных ставок аренды с начала 2001 года по начало 2003 года составил 1.18. Рассчитайте рыночную ставку аренды для этого помещения на начало 2017 года.</t>
  </si>
  <si>
    <t>Ставка аренды в 2003 году</t>
  </si>
  <si>
    <t>Индекс 2001-2017</t>
  </si>
  <si>
    <t>Индекс 2001-2003</t>
  </si>
  <si>
    <t>Ставка аренды в 2017 году</t>
  </si>
  <si>
    <t>Индекс 2003-2017</t>
  </si>
  <si>
    <t>3.2.3.19. (4 балла). Рассчитать рыночную стоимость земельного участка, НЭИ которого заключается в строительстве офисного здания общей площадью 5000 кв.м, арендопригодная площадь 4000 кв.м. Известно, что затраты на строительство составят 400 млн руб. и будут понесены в течение двух лет равными долями, после чего объект будет введен в эксплуатацию. Потенциальный арендный доход для собственника составляет 25000 руб за кв.м арендопригодной площади в год (все расходы по эксплуатации и содержанию здания оплачивают имеющиеся арендаторы независимо от общей загрузки), в первый год эксплуатации загрузка составит 70%, а, начиная со следующего, стабилизируется на 90%. Все ценовые показатели сохраняются неизменными. Ставка терминальной капитализации составляет 10%, затраты на продажу и брокерскую комиссию за сдачу площадей в аренду не учитывать, ставка дисконтирования операционного периода 16%, инвестиционного периода - 20%. Дисконтирование выполнять на конец периодов модели, период прогнозирования - 3 года, результат округлить до миллионов рублей.</t>
  </si>
  <si>
    <t>Будущая стоимость реверсии</t>
  </si>
  <si>
    <t>Количество периодов модели, лет</t>
  </si>
  <si>
    <t>ЧОД (собственный капитал)</t>
  </si>
  <si>
    <t>Остаток кредита на конец 10-го года</t>
  </si>
  <si>
    <t>Кол-во оставш. платежей через 10 лет</t>
  </si>
  <si>
    <t>Будущая стоимость реверсии (СК)</t>
  </si>
  <si>
    <t>Будущая стоимость реверсии за вычетом остатка по кредиту</t>
  </si>
  <si>
    <t>Текущая стоимость реверсии</t>
  </si>
  <si>
    <t>Рыночная стоимость СК</t>
  </si>
  <si>
    <t>РС собственного капитала = приведенная стоимость ЧОД СК + Текущая стоимость реверсии (СК)</t>
  </si>
  <si>
    <t>Приведённая стоимость ЧОД СК за 10 лет</t>
  </si>
  <si>
    <r>
      <t xml:space="preserve">3.2.3.20. (4 балла). Определить рыночную стоимость. ЧОД в течение ближайших десяти лет составит 150 тыс. руб. В конце десятого года объект можно будет продать за 1 200 тыс. руб. Инвестор получает ипотечный кредит в сумме 900 тыс. руб. на 30 лет под 12% с </t>
    </r>
    <r>
      <rPr>
        <b/>
        <sz val="14"/>
        <color rgb="FFFF0000"/>
        <rFont val="Calibri"/>
        <family val="2"/>
        <charset val="204"/>
        <scheme val="minor"/>
      </rPr>
      <t>ежемесячным</t>
    </r>
    <r>
      <rPr>
        <b/>
        <sz val="14"/>
        <color theme="1"/>
        <rFont val="Calibri"/>
        <family val="2"/>
        <charset val="204"/>
        <scheme val="minor"/>
      </rPr>
      <t xml:space="preserve"> погашением. Требуемая инвестором ставка дохода на вложенный собственный капитал – 15%.</t>
    </r>
  </si>
  <si>
    <t>Кредитная ставка за период</t>
  </si>
  <si>
    <t>Платёж по кредиту в месяц</t>
  </si>
  <si>
    <t>Платёж по кредиту в год</t>
  </si>
  <si>
    <t>Делим годовую ставку на 12 месяцев</t>
  </si>
  <si>
    <t>Умножаем количество лет кредита на 12 месяцев</t>
  </si>
  <si>
    <t>Умножаем количество лет до продажи объекта на 12 месяцев</t>
  </si>
  <si>
    <t>Ежемесячный платёж ко кредиту</t>
  </si>
  <si>
    <t>Сумма 12-ти ежемесячный платежей</t>
  </si>
  <si>
    <t>Из годового ЧОДа вычитаем сумму 12-ти ежемесячных платежей в погашение кредита</t>
  </si>
  <si>
    <t>Текущая стоимость аннуитета из десяти платежей по ставке доходности СК</t>
  </si>
  <si>
    <t>Текущая стоимость аннуитета из 240 платежей по ставке 1% (для ежемесячного платежа)</t>
  </si>
  <si>
    <t>Текущая стоимость будущей стоимости реверсии при 10-ти годах и ставке дохода на СК</t>
  </si>
  <si>
    <r>
      <rPr>
        <b/>
        <sz val="14"/>
        <color rgb="FFFF0000"/>
        <rFont val="Calibri"/>
        <family val="2"/>
        <charset val="204"/>
        <scheme val="minor"/>
      </rPr>
      <t>Недо</t>
    </r>
    <r>
      <rPr>
        <sz val="14"/>
        <color theme="1"/>
        <rFont val="Calibri"/>
        <family val="2"/>
        <charset val="204"/>
        <scheme val="minor"/>
      </rPr>
      <t>загрузка</t>
    </r>
  </si>
  <si>
    <t>Относительные стоимости</t>
  </si>
  <si>
    <t>3.2.2.5. Арендная плата в 2003 г. -1000 руб. индекс 2003-2005 – 1,5, индекс 2005 -2017 -3.45. Какова арендная плата на 2017 г.?</t>
  </si>
  <si>
    <t>Арендная плата в 2003 году</t>
  </si>
  <si>
    <t>Арендная плата в 2017 году</t>
  </si>
  <si>
    <t>В данном случае цепочка индексов последовательная, год за годом. Умножаем один на другой</t>
  </si>
  <si>
    <t>3.2.2.19. Оценщиком проведены исследования квартир площадью 30 кв.м. и 45 кв.м., вследствие чего формула нахождения удельной стоимости имеет следующий вид: C = 50 000 - 70*S. Определить рыночную стоимость квартиры площадью 200 кв.м.</t>
  </si>
  <si>
    <t>Недостаточно данных для расчета. Площадь объекта оценки выходит за границы модели: от 30 до 45 кв.м.</t>
  </si>
  <si>
    <t>Если на экзамене будет задача, где необходимо определить стоимость квартиры с площадью,</t>
  </si>
  <si>
    <t>попадающей в данный диапазон, то просто подставляем площадь в формулу, и считаем результат.</t>
  </si>
  <si>
    <t>3.2.1.5. Определить рыночную стоимость затратным подходом. Стоимость земельного участка 28 млн руб. затраты на создание здания с учетом прибыли предпринимателя ПП 90 млн. Совокупный износ здания 20%.</t>
  </si>
  <si>
    <t>Затраты + ПП</t>
  </si>
  <si>
    <t>Износ здания</t>
  </si>
  <si>
    <t>РС здания = Затраты * (1 - износ)</t>
  </si>
  <si>
    <t>3.2.1.11. Определите рыночную стоимость объекта недвижимости, представленного земельным участком и стоящим на нем зданием. Затраты на воспроизводство здания с учетом прибыли предпринимателя, без учета износа и устареваний рассчитаны на уровне 11 000 000 руб., обнаружены признаки физического износа (физ. износ на уровне 10%). Затраты на воспроизводство здания с учетом прибыли предпринимателя, физ. износа и всех видов устареваний уценены на уровне 8 800 000 руб. рыночная стоимость земельного участка составляет 2 000 000 руб.</t>
  </si>
  <si>
    <t>Затраты на воспроизводство без износа</t>
  </si>
  <si>
    <t>Затраты со всеми износами</t>
  </si>
  <si>
    <t>В условии приведено значение только физического износа</t>
  </si>
  <si>
    <t>Однако, не приведены значения "всех видов устареваний", которые уже учтены в 8 800 000р.</t>
  </si>
  <si>
    <t>Используем для расчётов 8 800 000р. поскольку эта величина учитывает все устаревания.</t>
  </si>
  <si>
    <t>3.2.1.15. Объект недвижимости построен в 2010 году, оценивается в 2018 году. Срок службы 25 лет, эффективный возраст 12. Определить остаточный срок службы.</t>
  </si>
  <si>
    <t>Лишние данные. Если есть данные об эффективном возрасте и/или сроке службы - используем их.</t>
  </si>
  <si>
    <t>Количество периодов кредита (мес)</t>
  </si>
  <si>
    <t>Количество периодов модели (мес)</t>
  </si>
  <si>
    <t>Сколько еще платежей по кредиту осталось на конец 10-го года? Осталось 20 лет по 12 платежей в год</t>
  </si>
  <si>
    <t>Потенциальный валовый доход не учитывает загрузку/недозагрузку и неплатежи</t>
  </si>
  <si>
    <t>В задаче много лишний данных. Помним, что РС = ЧОД / R. Соответственно, R = ЧОД / РС</t>
  </si>
  <si>
    <t>Ставка кредитования - лишние данные</t>
  </si>
  <si>
    <t>Необходимо рассчитать ставку дисконтирования в рубля, поэтому используем безрисковую доходность в рублях</t>
  </si>
  <si>
    <t>Берзисковая * срок экспозиции (в месяцах) / 12 месяцев</t>
  </si>
  <si>
    <r>
      <t xml:space="preserve">3.2.3.11. Известно, что для офисных помещений на дату оценки ВРМ составляет 5. Рассчитать стоимость офисного помещения, которое сдаётся в аренду по 1000 руб./ кв м </t>
    </r>
    <r>
      <rPr>
        <b/>
        <sz val="14"/>
        <color rgb="FFFF0000"/>
        <rFont val="Calibri"/>
        <family val="2"/>
        <charset val="204"/>
        <scheme val="minor"/>
      </rPr>
      <t>в месяц</t>
    </r>
    <r>
      <rPr>
        <b/>
        <sz val="14"/>
        <color theme="1"/>
        <rFont val="Calibri"/>
        <family val="2"/>
        <charset val="204"/>
        <scheme val="minor"/>
      </rPr>
      <t xml:space="preserve">. Дополнительно арендатор возмещает 100 руб. / кв м </t>
    </r>
    <r>
      <rPr>
        <b/>
        <sz val="14"/>
        <color rgb="FFFF0000"/>
        <rFont val="Calibri"/>
        <family val="2"/>
        <charset val="204"/>
        <scheme val="minor"/>
      </rPr>
      <t>в месяц</t>
    </r>
    <r>
      <rPr>
        <b/>
        <sz val="14"/>
        <color theme="1"/>
        <rFont val="Calibri"/>
        <family val="2"/>
        <charset val="204"/>
        <scheme val="minor"/>
      </rPr>
      <t>. операционных расходов. Площадь здания 100 кв. м.</t>
    </r>
  </si>
  <si>
    <t>Не путать валовый рентный мультипликатор со ставкой капитализации</t>
  </si>
  <si>
    <t>Задача с неоднозначным толкованием условия. Дисконтируем так, как указано для каждого конкретного периода.</t>
  </si>
  <si>
    <t>Реверсия (в данном случае - выручка от продажи) дисконтируется на конец последнего прогнозного периода, независимо от самих периодов</t>
  </si>
  <si>
    <r>
      <t xml:space="preserve">3.2.3.16. Определить годовой </t>
    </r>
    <r>
      <rPr>
        <b/>
        <sz val="14"/>
        <color rgb="FFFF0000"/>
        <rFont val="Calibri"/>
        <family val="2"/>
        <charset val="204"/>
        <scheme val="minor"/>
      </rPr>
      <t>действительный</t>
    </r>
    <r>
      <rPr>
        <b/>
        <sz val="14"/>
        <color theme="1"/>
        <rFont val="Calibri"/>
        <family val="2"/>
        <charset val="204"/>
        <scheme val="minor"/>
      </rPr>
      <t xml:space="preserve"> валовой доход для объекта недвижимости. - Общая площадь помещений 450 кв. м. Арендопригодная площадь помещений 410 кв. м. Рыночная арендная плата 7000 руб./кв.м арендопригодной площади </t>
    </r>
    <r>
      <rPr>
        <b/>
        <sz val="14"/>
        <color rgb="FFFF0000"/>
        <rFont val="Calibri"/>
        <family val="2"/>
        <charset val="204"/>
        <scheme val="minor"/>
      </rPr>
      <t>в год</t>
    </r>
    <r>
      <rPr>
        <b/>
        <sz val="14"/>
        <color theme="1"/>
        <rFont val="Calibri"/>
        <family val="2"/>
        <charset val="204"/>
        <scheme val="minor"/>
      </rPr>
      <t>. Вакантная площадь 5%. Результат округлить до тысяч рублей.</t>
    </r>
  </si>
  <si>
    <t>ДВД определяется от арендопригодной площади с учетом загрузки</t>
  </si>
  <si>
    <t>Метод Хоскольда - от безрисковой ставки</t>
  </si>
  <si>
    <t>Ставка капитализации = Ставка дисконтирования + Норма возврата капитала</t>
  </si>
  <si>
    <t>РС = ЧОД / Cтавка капитализации</t>
  </si>
  <si>
    <t>РС ЕОН = РС Улучшений + РС ЗУ</t>
  </si>
  <si>
    <r>
      <t xml:space="preserve">3.2.3.24. Рассчитать рыночную стоимость земельного участка методом деления на участки, если участок предполагается разделить на 2 лота, которые, как прогнозируется, будут проданы через 1 и 2 года по ценам 1 и 2 млн руб. соответственно. Затраты на продажу составят соответственно 200 тыс. руб. </t>
    </r>
    <r>
      <rPr>
        <b/>
        <sz val="14"/>
        <color rgb="FFFF0000"/>
        <rFont val="Calibri"/>
        <family val="2"/>
        <charset val="204"/>
        <scheme val="minor"/>
      </rPr>
      <t>на дату оценки</t>
    </r>
    <r>
      <rPr>
        <b/>
        <sz val="14"/>
        <color theme="1"/>
        <rFont val="Calibri"/>
        <family val="2"/>
        <charset val="204"/>
        <scheme val="minor"/>
      </rPr>
      <t xml:space="preserve"> и 1 млн руб. </t>
    </r>
    <r>
      <rPr>
        <b/>
        <sz val="14"/>
        <color rgb="FFFF0000"/>
        <rFont val="Calibri"/>
        <family val="2"/>
        <charset val="204"/>
        <scheme val="minor"/>
      </rPr>
      <t>на конец первого года</t>
    </r>
    <r>
      <rPr>
        <b/>
        <sz val="14"/>
        <color theme="1"/>
        <rFont val="Calibri"/>
        <family val="2"/>
        <charset val="204"/>
        <scheme val="minor"/>
      </rPr>
      <t>. Требуемая норма доходности аналогичных инвестиций 10%. Результат округлить до тысяч рублей.</t>
    </r>
  </si>
  <si>
    <t>Ставка дисконтирования (СК)</t>
  </si>
  <si>
    <t>Остаток кредина на конец 6-го года</t>
  </si>
  <si>
    <t>Продажа в конце 6-го года за</t>
  </si>
  <si>
    <t>Перемножаем друг на друга факторы для каждого года</t>
  </si>
  <si>
    <t>Аналог лучше: больше по площади и имеет гараж. Корректировки понижающие</t>
  </si>
  <si>
    <t>Встречаются другие модификации задачи, где могут использоваться несколько аналогов.</t>
  </si>
  <si>
    <t>ОО/ОА</t>
  </si>
  <si>
    <t>По приведённой формуле определяем стоимость ОО</t>
  </si>
  <si>
    <t>По приведённой формуле определяем стоимость ОА</t>
  </si>
  <si>
    <t>(ОО/ОА)-1 (сразу будет с учётом знака)</t>
  </si>
  <si>
    <t>(1+i)^n - 1</t>
  </si>
  <si>
    <t>МЕСТОПОЛОЖЕНИЕ</t>
  </si>
  <si>
    <t>Нулевая скидка на торг также участвует в расчетах!!!</t>
  </si>
  <si>
    <t>РС (умножаем на площадь ОО)</t>
  </si>
  <si>
    <r>
      <t xml:space="preserve">Ставка аренды </t>
    </r>
    <r>
      <rPr>
        <sz val="14"/>
        <color rgb="FFFF0000"/>
        <rFont val="Calibri"/>
        <family val="2"/>
        <charset val="204"/>
        <scheme val="minor"/>
      </rPr>
      <t>в год</t>
    </r>
  </si>
  <si>
    <r>
      <t xml:space="preserve">Возмещение ОР </t>
    </r>
    <r>
      <rPr>
        <sz val="14"/>
        <color rgb="FFFF0000"/>
        <rFont val="Calibri"/>
        <family val="2"/>
        <charset val="204"/>
        <scheme val="minor"/>
      </rPr>
      <t>в год</t>
    </r>
  </si>
  <si>
    <t>Это тоже доход, который получает арендодатель (например, доп. оплата арендатором коммуналки)</t>
  </si>
  <si>
    <t>Ставка аренды + возмещение ОР</t>
  </si>
  <si>
    <t>Валовый доход * ВРМ</t>
  </si>
  <si>
    <r>
      <t xml:space="preserve">3.2.2.13. Рассчитать стоимость 1 кв.м бизнес-центра класса В (находится в центре, отделка евростандарт, данные характеристики типичны для данного класса). Аналог класс С, 50 000 руб./кв.м (находится на окраине, простая отделка, данные характеристики типичны для данного класса). Класс С дешевле В на 25%, евроотделка лучше простой на 16%, центр лучше окраины на 14%. </t>
    </r>
    <r>
      <rPr>
        <b/>
        <sz val="14"/>
        <color rgb="FFFF0000"/>
        <rFont val="Calibri"/>
        <family val="2"/>
        <charset val="204"/>
        <scheme val="minor"/>
      </rPr>
      <t>Определение класса включает в себя характеристики отделки и местоположения.</t>
    </r>
  </si>
  <si>
    <t>Итоговая корректировка</t>
  </si>
  <si>
    <t>Если красной фразы в условии нет, то учитываем все различия:</t>
  </si>
  <si>
    <r>
      <t xml:space="preserve">Повышающая корректировка </t>
    </r>
    <r>
      <rPr>
        <i/>
        <sz val="14"/>
        <color rgb="FFFF0000"/>
        <rFont val="Calibri"/>
        <family val="2"/>
        <charset val="204"/>
        <scheme val="minor"/>
      </rPr>
      <t>при нахождении цены ОА</t>
    </r>
    <r>
      <rPr>
        <i/>
        <sz val="14"/>
        <rFont val="Calibri"/>
        <family val="2"/>
        <charset val="204"/>
        <scheme val="minor"/>
      </rPr>
      <t>. При меньших % больше кредит</t>
    </r>
  </si>
  <si>
    <r>
      <t xml:space="preserve">Решение 1 </t>
    </r>
    <r>
      <rPr>
        <i/>
        <sz val="14"/>
        <color theme="1"/>
        <rFont val="Calibri"/>
        <family val="2"/>
        <charset val="204"/>
        <scheme val="minor"/>
      </rPr>
      <t>- принимаем за единицу цену ОО, и определяем цену ОА при таком же платеже</t>
    </r>
  </si>
  <si>
    <t>Можно поставить любую цену. Итог не изменится. Это деньги.</t>
  </si>
  <si>
    <r>
      <t xml:space="preserve">Решение 3 </t>
    </r>
    <r>
      <rPr>
        <i/>
        <sz val="14"/>
        <color theme="1"/>
        <rFont val="Calibri"/>
        <family val="2"/>
        <charset val="204"/>
        <scheme val="minor"/>
      </rPr>
      <t>- имея одинаковые платежи в деньгах, какую недвижимость можем себе позволить в кредит под разные проценты?</t>
    </r>
  </si>
  <si>
    <t>Можно поставить любое значение, одинаковое у ОО и ОА. Это деньги.</t>
  </si>
  <si>
    <t>Аналог с ремонтом. Корректировка понижающая</t>
  </si>
  <si>
    <t>За 1 кв.м.</t>
  </si>
  <si>
    <t>1 кв.м. без ремонта</t>
  </si>
  <si>
    <t>1 кв.м. с ремонтом</t>
  </si>
  <si>
    <t>Удельная цена аналога</t>
  </si>
  <si>
    <t>ВРМ считается от валового дохода. Остальное - лишние данные</t>
  </si>
  <si>
    <t>В условии, вероятно, опечатка, но говорили, что на экзамене было указано именно так. Расчет производится как обычно.</t>
  </si>
  <si>
    <t>Данная конкретная задача решается с использованием единственного аналога</t>
  </si>
  <si>
    <t>В условии много лишних индексов. Внимательно выбираем нужные.</t>
  </si>
  <si>
    <t>Не забываем "единица минус". Иначе получим рыночную стоимость</t>
  </si>
  <si>
    <t>Капитализируем годовые потери</t>
  </si>
  <si>
    <t>Доля здания в стоимости ЕОН</t>
  </si>
  <si>
    <t>Внимательней на экзамене к этой величине. Возможны вариации в условии.</t>
  </si>
  <si>
    <r>
      <t>Цена аналога * (</t>
    </r>
    <r>
      <rPr>
        <i/>
        <sz val="14"/>
        <color rgb="FFFF0000"/>
        <rFont val="Calibri"/>
        <family val="2"/>
        <charset val="204"/>
        <scheme val="minor"/>
      </rPr>
      <t>ОО/ОА</t>
    </r>
    <r>
      <rPr>
        <i/>
        <sz val="14"/>
        <color theme="1"/>
        <rFont val="Calibri"/>
        <family val="2"/>
        <charset val="204"/>
        <scheme val="minor"/>
      </rPr>
      <t>)^b</t>
    </r>
  </si>
  <si>
    <t>Всё ускоренное и срочное - не рыночные условия.</t>
  </si>
  <si>
    <t>5% от изготовления</t>
  </si>
  <si>
    <t>170% от изготовления</t>
  </si>
  <si>
    <t>Износ = Возраст / Срок службы</t>
  </si>
  <si>
    <t>В качестве аналоги выбираем склад из ж/б, поскольку всё в таблице относится к деревообработке - справочник-то отраслевой</t>
  </si>
  <si>
    <t>Из таблицы выше</t>
  </si>
  <si>
    <t>Индексы для ж/б панелей</t>
  </si>
  <si>
    <t>Сколько процентов составляет 8 от 33</t>
  </si>
  <si>
    <t>ОА1 - для расчета стоимости</t>
  </si>
  <si>
    <t>ОА2 и ОА3 - для расчета коэффициента удорожания</t>
  </si>
  <si>
    <t>Ускоренное и срочное - не рыночные данные</t>
  </si>
  <si>
    <t>Складываем износы, и затем рассчитываем РС</t>
  </si>
  <si>
    <t>Определяем износ в деньгах</t>
  </si>
  <si>
    <t>Лишние данные</t>
  </si>
  <si>
    <r>
      <t xml:space="preserve">3.2.1.3. Вследствие ухудшения экологической ситуации в районе расположения оцениваемого объекта, чистый операционный доход от объекта снизился с 500 до 400 руб. с 1 кв. м арендопригодной площади </t>
    </r>
    <r>
      <rPr>
        <b/>
        <sz val="14"/>
        <color rgb="FFFF0000"/>
        <rFont val="Calibri"/>
        <family val="2"/>
        <charset val="204"/>
        <scheme val="minor"/>
      </rPr>
      <t>в год</t>
    </r>
    <r>
      <rPr>
        <b/>
        <sz val="14"/>
        <color theme="1"/>
        <rFont val="Calibri"/>
        <family val="2"/>
        <charset val="204"/>
        <scheme val="minor"/>
      </rPr>
      <t>. Арендопригодная площадь объекта составляет 1 000 кв. м. Среднерыночная ставка капитализации для подобных объектов составляет 10% и не зависит от фактов ухудшения экологической ситуации. Доля земельного участка в стоимости объекта составляет 30%. Предполагается, что негативное внешнее воздействие сохранится в течение неопределенно долгого периода времени. В результате действия негативных факторов происходит снижение стоимости земельного участка и появляется внешнее устаревание улучшений. Определить величину внешнего устаревания, относящуюся к зданию. Результат округлить до тысяч рублей.</t>
    </r>
  </si>
  <si>
    <r>
      <t xml:space="preserve">ЗУ = РС ЕОН - </t>
    </r>
    <r>
      <rPr>
        <sz val="14"/>
        <color rgb="FFFF0000"/>
        <rFont val="Calibri"/>
        <family val="2"/>
        <charset val="204"/>
        <scheme val="minor"/>
      </rPr>
      <t>Девелопмент</t>
    </r>
    <r>
      <rPr>
        <sz val="14"/>
        <color theme="1"/>
        <rFont val="Calibri"/>
        <family val="2"/>
        <charset val="204"/>
        <scheme val="minor"/>
      </rPr>
      <t xml:space="preserve"> - ПП</t>
    </r>
  </si>
  <si>
    <r>
      <t xml:space="preserve">Решение 2 </t>
    </r>
    <r>
      <rPr>
        <i/>
        <sz val="14"/>
        <color theme="1"/>
        <rFont val="Calibri"/>
        <family val="2"/>
        <charset val="204"/>
        <scheme val="minor"/>
      </rPr>
      <t>- принимаем за единицу цену ОА, и определяем цену ОО при таком же платеже</t>
    </r>
  </si>
  <si>
    <t>3.2.1.18. Определить стоимость объекта недвижимости, представленного земельным участком и зданием. Затраты на замещение для здания без учёта прибыли предпринимателя 10 млн рублей, износ здания отсутствует. Рыночная стоимость участка 2 млн рублей, прибыль предпринимателя 30%.</t>
  </si>
  <si>
    <t>ОКС (улучшения)</t>
  </si>
  <si>
    <t>ЕОН</t>
  </si>
  <si>
    <t>Хронологический возраст</t>
  </si>
  <si>
    <t>Решение 1</t>
  </si>
  <si>
    <t>Решение 2</t>
  </si>
  <si>
    <t>Отношение стоимости ЗУ к продаваемым (жилым) площадям</t>
  </si>
  <si>
    <t>Стоимость в 2017 году</t>
  </si>
  <si>
    <t>Индекс с 2005 по 2017</t>
  </si>
  <si>
    <t>Индекс с 2005 по 2010</t>
  </si>
  <si>
    <t>3.2.2.22. В 2017 году квартира стоит 2,5 млн руб. Индекс с 2005 по 2017 - 3,4. Индекс с 2005 по 2010 - 1,7. Сколько стоит квартира в 2010 г.?</t>
  </si>
  <si>
    <t>Арендный доход</t>
  </si>
  <si>
    <t>Множитель для одного периода</t>
  </si>
  <si>
    <t>Дисконтный множитель</t>
  </si>
  <si>
    <t>СК</t>
  </si>
  <si>
    <r>
      <t xml:space="preserve">3.2.3.27. Определить рыночную стоимость объекта недвижимости, если действительный валовый доход составляет 2 200 000 рублей в год, величина операционных расходов и расходов на замещение составляет 2 500 руб./кв.м общей площади </t>
    </r>
    <r>
      <rPr>
        <b/>
        <sz val="14"/>
        <color rgb="FFFF0000"/>
        <rFont val="Calibri"/>
        <family val="2"/>
        <charset val="204"/>
        <scheme val="minor"/>
      </rPr>
      <t>в год</t>
    </r>
    <r>
      <rPr>
        <b/>
        <sz val="14"/>
        <color theme="1"/>
        <rFont val="Calibri"/>
        <family val="2"/>
        <charset val="204"/>
        <scheme val="minor"/>
      </rPr>
      <t>, общая площадь - 200 кв.м, коэффициент капитализации - 10%.</t>
    </r>
  </si>
  <si>
    <t>3.2.3.28. Определить годовой действительный валовой доход для объекта недвижимости. Потенциальный валовой доход 12000 в год, загрузка 60%, расходы собственника 1100.</t>
  </si>
  <si>
    <t>ПВД в год</t>
  </si>
  <si>
    <t>Расходы собственника</t>
  </si>
  <si>
    <r>
      <rPr>
        <b/>
        <sz val="14"/>
        <color theme="1"/>
        <rFont val="Calibri"/>
        <family val="2"/>
        <charset val="204"/>
        <scheme val="minor"/>
      </rPr>
      <t xml:space="preserve">3.2.3.29. </t>
    </r>
    <r>
      <rPr>
        <sz val="14"/>
        <color theme="1"/>
        <rFont val="Calibri"/>
        <family val="2"/>
        <charset val="204"/>
        <scheme val="minor"/>
      </rPr>
      <t xml:space="preserve">Определить  рыночную  стоимость  офисного  здания  (единого  объекта  недвижимости), если известно, что его общая площадь составляет 5000 кв.м, </t>
    </r>
    <r>
      <rPr>
        <b/>
        <sz val="14"/>
        <color rgb="FFFF0000"/>
        <rFont val="Calibri"/>
        <family val="2"/>
        <charset val="204"/>
        <scheme val="minor"/>
      </rPr>
      <t>арендопригодная</t>
    </r>
    <r>
      <rPr>
        <sz val="14"/>
        <color theme="1"/>
        <rFont val="Calibri"/>
        <family val="2"/>
        <charset val="204"/>
        <scheme val="minor"/>
      </rPr>
      <t xml:space="preserve"> площадь - 4000 кв.м, здание </t>
    </r>
    <r>
      <rPr>
        <b/>
        <sz val="14"/>
        <color rgb="FFFF0000"/>
        <rFont val="Calibri"/>
        <family val="2"/>
        <charset val="204"/>
        <scheme val="minor"/>
      </rPr>
      <t>полностью сдано в аренду</t>
    </r>
    <r>
      <rPr>
        <sz val="14"/>
        <color theme="1"/>
        <rFont val="Calibri"/>
        <family val="2"/>
        <charset val="204"/>
        <scheme val="minor"/>
      </rPr>
      <t xml:space="preserve"> без возможности расторжения договора </t>
    </r>
    <r>
      <rPr>
        <b/>
        <sz val="14"/>
        <color rgb="FFFF0000"/>
        <rFont val="Calibri"/>
        <family val="2"/>
        <charset val="204"/>
        <scheme val="minor"/>
      </rPr>
      <t>по фиксированной  ставке</t>
    </r>
    <r>
      <rPr>
        <sz val="14"/>
        <color theme="1"/>
        <rFont val="Calibri"/>
        <family val="2"/>
        <charset val="204"/>
        <scheme val="minor"/>
      </rPr>
      <t xml:space="preserve">  15000  руб  за  кв.м  арендопригодной  площади  в  год,  текущая </t>
    </r>
    <r>
      <rPr>
        <b/>
        <sz val="14"/>
        <color theme="4"/>
        <rFont val="Calibri"/>
        <family val="2"/>
        <charset val="204"/>
        <scheme val="minor"/>
      </rPr>
      <t>рыночная  ставка</t>
    </r>
    <r>
      <rPr>
        <sz val="14"/>
        <color theme="1"/>
        <rFont val="Calibri"/>
        <family val="2"/>
        <charset val="204"/>
        <scheme val="minor"/>
      </rPr>
      <t xml:space="preserve">  аренды  25  000  руб.  за  кв.м  арендопригодной  площади  в  год, </t>
    </r>
    <r>
      <rPr>
        <b/>
        <sz val="14"/>
        <color rgb="FF7030A0"/>
        <rFont val="Calibri"/>
        <family val="2"/>
        <charset val="204"/>
        <scheme val="minor"/>
      </rPr>
      <t>дополнительно к арендной плате</t>
    </r>
    <r>
      <rPr>
        <sz val="14"/>
        <color theme="1"/>
        <rFont val="Calibri"/>
        <family val="2"/>
        <charset val="204"/>
        <scheme val="minor"/>
      </rPr>
      <t xml:space="preserve"> арендатор оплачивает </t>
    </r>
    <r>
      <rPr>
        <b/>
        <sz val="14"/>
        <color rgb="FF7030A0"/>
        <rFont val="Calibri"/>
        <family val="2"/>
        <charset val="204"/>
        <scheme val="minor"/>
      </rPr>
      <t>операционные расходы</t>
    </r>
    <r>
      <rPr>
        <sz val="14"/>
        <color theme="1"/>
        <rFont val="Calibri"/>
        <family val="2"/>
        <charset val="204"/>
        <scheme val="minor"/>
      </rPr>
      <t xml:space="preserve"> в размере 5000  руб.  за  кв.м  </t>
    </r>
    <r>
      <rPr>
        <b/>
        <i/>
        <u/>
        <sz val="14"/>
        <color rgb="FF7030A0"/>
        <rFont val="Calibri"/>
        <family val="2"/>
        <charset val="204"/>
        <scheme val="minor"/>
      </rPr>
      <t>арендопригодной</t>
    </r>
    <r>
      <rPr>
        <sz val="14"/>
        <color theme="1"/>
        <rFont val="Calibri"/>
        <family val="2"/>
        <charset val="204"/>
        <scheme val="minor"/>
      </rPr>
      <t xml:space="preserve">  площади  в  год,  что  соответствует  рыночным условиям.  </t>
    </r>
    <r>
      <rPr>
        <b/>
        <sz val="14"/>
        <color rgb="FFFF0000"/>
        <rFont val="Calibri"/>
        <family val="2"/>
        <charset val="204"/>
        <scheme val="minor"/>
      </rPr>
      <t>Оставшийся  срок  аренды  -  2  года</t>
    </r>
    <r>
      <rPr>
        <sz val="14"/>
        <color theme="1"/>
        <rFont val="Calibri"/>
        <family val="2"/>
        <charset val="204"/>
        <scheme val="minor"/>
      </rPr>
      <t xml:space="preserve">,  после  завершения  которого,  начиная  </t>
    </r>
    <r>
      <rPr>
        <b/>
        <sz val="14"/>
        <color theme="4"/>
        <rFont val="Calibri"/>
        <family val="2"/>
        <charset val="204"/>
        <scheme val="minor"/>
      </rPr>
      <t>с третьего  года</t>
    </r>
    <r>
      <rPr>
        <sz val="14"/>
        <color theme="1"/>
        <rFont val="Calibri"/>
        <family val="2"/>
        <charset val="204"/>
        <scheme val="minor"/>
      </rPr>
      <t xml:space="preserve">,  здание  будет  сдаваться  в  аренду  </t>
    </r>
    <r>
      <rPr>
        <b/>
        <sz val="14"/>
        <color theme="4"/>
        <rFont val="Calibri"/>
        <family val="2"/>
        <charset val="204"/>
        <scheme val="minor"/>
      </rPr>
      <t>на  рыночных  условиях</t>
    </r>
    <r>
      <rPr>
        <sz val="14"/>
        <color theme="1"/>
        <rFont val="Calibri"/>
        <family val="2"/>
        <charset val="204"/>
        <scheme val="minor"/>
      </rPr>
      <t xml:space="preserve">,  в  первый  год после  завершения  договора  аренды  ожидается  </t>
    </r>
    <r>
      <rPr>
        <b/>
        <sz val="14"/>
        <color theme="1"/>
        <rFont val="Calibri"/>
        <family val="2"/>
        <charset val="204"/>
        <scheme val="minor"/>
      </rPr>
      <t>НЕДО</t>
    </r>
    <r>
      <rPr>
        <sz val="14"/>
        <color theme="1"/>
        <rFont val="Calibri"/>
        <family val="2"/>
        <charset val="204"/>
        <scheme val="minor"/>
      </rPr>
      <t xml:space="preserve">загрузка  30%,  со  второго  года показатель  стабилизируется  на  10%.  </t>
    </r>
    <r>
      <rPr>
        <b/>
        <sz val="14"/>
        <color rgb="FF7030A0"/>
        <rFont val="Calibri"/>
        <family val="2"/>
        <charset val="204"/>
        <scheme val="minor"/>
      </rPr>
      <t>Фактические  операционные  расходы</t>
    </r>
    <r>
      <rPr>
        <sz val="14"/>
        <color theme="1"/>
        <rFont val="Calibri"/>
        <family val="2"/>
        <charset val="204"/>
        <scheme val="minor"/>
      </rPr>
      <t xml:space="preserve">  по  зданию составляют  7000  руб.  </t>
    </r>
    <r>
      <rPr>
        <b/>
        <sz val="14"/>
        <color rgb="FF7030A0"/>
        <rFont val="Calibri"/>
        <family val="2"/>
        <charset val="204"/>
        <scheme val="minor"/>
      </rPr>
      <t>за  кв.м  общей  площади</t>
    </r>
    <r>
      <rPr>
        <sz val="14"/>
        <color theme="1"/>
        <rFont val="Calibri"/>
        <family val="2"/>
        <charset val="204"/>
        <scheme val="minor"/>
      </rPr>
      <t xml:space="preserve">  в  год,  других  расходов  по  зданию  нет, ставка терминальной капитализации - 10%, затраты на продажу и брокерскую комиссию за  сдачу  площадей  в  аренду  не  учитывать,  требуемая  рыночная  норма  доходности  для подобных  инвестиций  -  16%,  предполагается,  что  все  расходы  и  доходы  остаются постоянными. Дисконтирование выполнять на конец периодов модели, период прогноза - 3 года, результат округлить до миллионов рублей.</t>
    </r>
  </si>
  <si>
    <r>
      <t xml:space="preserve">Компенсация ОР, руб. </t>
    </r>
    <r>
      <rPr>
        <b/>
        <sz val="14"/>
        <color theme="1"/>
        <rFont val="Calibri"/>
        <family val="2"/>
        <charset val="204"/>
        <scheme val="minor"/>
      </rPr>
      <t>от арендоприг.</t>
    </r>
  </si>
  <si>
    <t>3.2.3.31. Определить рыночную стоимость объекта недвижимости, если действительный валовый доход составляет 700 000 рублей в месяц, величина операционных расходов и расходов на замещение составляет 2 500 руб./кв.м общей площади в год, общая площадь - 1200 кв.м, коэффициент капитализации - 10%.</t>
  </si>
  <si>
    <r>
      <rPr>
        <b/>
        <sz val="14"/>
        <color theme="1"/>
        <rFont val="Calibri"/>
        <family val="2"/>
        <charset val="204"/>
        <scheme val="minor"/>
      </rPr>
      <t xml:space="preserve">3.2.3.32. </t>
    </r>
    <r>
      <rPr>
        <sz val="14"/>
        <color theme="1"/>
        <rFont val="Calibri"/>
        <family val="2"/>
        <charset val="204"/>
        <scheme val="minor"/>
      </rPr>
      <t xml:space="preserve">Определить  рыночную  стоимость  офисного  здания  (единого  объекта  недвижимости), если известно, что его общая площадь составляет 5000 кв.м, </t>
    </r>
    <r>
      <rPr>
        <b/>
        <sz val="14"/>
        <color rgb="FFFF0000"/>
        <rFont val="Calibri"/>
        <family val="2"/>
        <charset val="204"/>
        <scheme val="minor"/>
      </rPr>
      <t>арендопригодная</t>
    </r>
    <r>
      <rPr>
        <sz val="14"/>
        <color theme="1"/>
        <rFont val="Calibri"/>
        <family val="2"/>
        <charset val="204"/>
        <scheme val="minor"/>
      </rPr>
      <t xml:space="preserve"> площадь - 4000 кв.м, здание </t>
    </r>
    <r>
      <rPr>
        <b/>
        <sz val="14"/>
        <color rgb="FFFF0000"/>
        <rFont val="Calibri"/>
        <family val="2"/>
        <charset val="204"/>
        <scheme val="minor"/>
      </rPr>
      <t>полностью сдано в аренду</t>
    </r>
    <r>
      <rPr>
        <sz val="14"/>
        <color theme="1"/>
        <rFont val="Calibri"/>
        <family val="2"/>
        <charset val="204"/>
        <scheme val="minor"/>
      </rPr>
      <t xml:space="preserve"> без возможности расторжения договора </t>
    </r>
    <r>
      <rPr>
        <b/>
        <sz val="14"/>
        <color rgb="FFFF0000"/>
        <rFont val="Calibri"/>
        <family val="2"/>
        <charset val="204"/>
        <scheme val="minor"/>
      </rPr>
      <t>по фиксированной  ставке</t>
    </r>
    <r>
      <rPr>
        <sz val="14"/>
        <color theme="1"/>
        <rFont val="Calibri"/>
        <family val="2"/>
        <charset val="204"/>
        <scheme val="minor"/>
      </rPr>
      <t xml:space="preserve">  15000  руб  за  кв.м  арендопригодной  площади  в  год,  текущая </t>
    </r>
    <r>
      <rPr>
        <b/>
        <sz val="14"/>
        <color theme="4"/>
        <rFont val="Calibri"/>
        <family val="2"/>
        <charset val="204"/>
        <scheme val="minor"/>
      </rPr>
      <t>рыночная  ставка</t>
    </r>
    <r>
      <rPr>
        <sz val="14"/>
        <color theme="1"/>
        <rFont val="Calibri"/>
        <family val="2"/>
        <charset val="204"/>
        <scheme val="minor"/>
      </rPr>
      <t xml:space="preserve">  аренды  25  000  руб.  за  кв.м  арендопригодной  площади  в  год, </t>
    </r>
    <r>
      <rPr>
        <b/>
        <sz val="14"/>
        <color rgb="FF7030A0"/>
        <rFont val="Calibri"/>
        <family val="2"/>
        <charset val="204"/>
        <scheme val="minor"/>
      </rPr>
      <t>дополнительно к арендной плате</t>
    </r>
    <r>
      <rPr>
        <sz val="14"/>
        <color theme="1"/>
        <rFont val="Calibri"/>
        <family val="2"/>
        <charset val="204"/>
        <scheme val="minor"/>
      </rPr>
      <t xml:space="preserve"> арендатор оплачивает </t>
    </r>
    <r>
      <rPr>
        <b/>
        <sz val="14"/>
        <color rgb="FF7030A0"/>
        <rFont val="Calibri"/>
        <family val="2"/>
        <charset val="204"/>
        <scheme val="minor"/>
      </rPr>
      <t>операционные расходы</t>
    </r>
    <r>
      <rPr>
        <sz val="14"/>
        <color theme="1"/>
        <rFont val="Calibri"/>
        <family val="2"/>
        <charset val="204"/>
        <scheme val="minor"/>
      </rPr>
      <t xml:space="preserve"> в размере 5000  руб.  за  кв.м  </t>
    </r>
    <r>
      <rPr>
        <b/>
        <i/>
        <u/>
        <sz val="14"/>
        <color rgb="FF7030A0"/>
        <rFont val="Calibri"/>
        <family val="2"/>
        <charset val="204"/>
        <scheme val="minor"/>
      </rPr>
      <t>арендуемой</t>
    </r>
    <r>
      <rPr>
        <sz val="14"/>
        <color theme="1"/>
        <rFont val="Calibri"/>
        <family val="2"/>
        <charset val="204"/>
        <scheme val="minor"/>
      </rPr>
      <t xml:space="preserve">  площади  в  год,  что  соответствует  рыночным условиям.  </t>
    </r>
    <r>
      <rPr>
        <b/>
        <sz val="14"/>
        <color rgb="FFFF0000"/>
        <rFont val="Calibri"/>
        <family val="2"/>
        <charset val="204"/>
        <scheme val="minor"/>
      </rPr>
      <t>Оставшийся  срок  аренды  -  2  года</t>
    </r>
    <r>
      <rPr>
        <sz val="14"/>
        <color theme="1"/>
        <rFont val="Calibri"/>
        <family val="2"/>
        <charset val="204"/>
        <scheme val="minor"/>
      </rPr>
      <t xml:space="preserve">,  после  завершения  которого,  начиная  </t>
    </r>
    <r>
      <rPr>
        <b/>
        <sz val="14"/>
        <color theme="4"/>
        <rFont val="Calibri"/>
        <family val="2"/>
        <charset val="204"/>
        <scheme val="minor"/>
      </rPr>
      <t>с третьего  года</t>
    </r>
    <r>
      <rPr>
        <sz val="14"/>
        <color theme="1"/>
        <rFont val="Calibri"/>
        <family val="2"/>
        <charset val="204"/>
        <scheme val="minor"/>
      </rPr>
      <t xml:space="preserve">,  здание  будет  сдаваться  в  аренду  </t>
    </r>
    <r>
      <rPr>
        <b/>
        <sz val="14"/>
        <color theme="4"/>
        <rFont val="Calibri"/>
        <family val="2"/>
        <charset val="204"/>
        <scheme val="minor"/>
      </rPr>
      <t>на  рыночных  условиях</t>
    </r>
    <r>
      <rPr>
        <sz val="14"/>
        <color theme="1"/>
        <rFont val="Calibri"/>
        <family val="2"/>
        <charset val="204"/>
        <scheme val="minor"/>
      </rPr>
      <t xml:space="preserve">,  в  первый  год после  завершения  договора  аренды  ожидается  </t>
    </r>
    <r>
      <rPr>
        <b/>
        <sz val="14"/>
        <color theme="1"/>
        <rFont val="Calibri"/>
        <family val="2"/>
        <charset val="204"/>
        <scheme val="minor"/>
      </rPr>
      <t>НЕДО</t>
    </r>
    <r>
      <rPr>
        <sz val="14"/>
        <color theme="1"/>
        <rFont val="Calibri"/>
        <family val="2"/>
        <charset val="204"/>
        <scheme val="minor"/>
      </rPr>
      <t xml:space="preserve">загрузка  30%,  со  второго  года показатель  стабилизируется  на  10%.  </t>
    </r>
    <r>
      <rPr>
        <b/>
        <sz val="14"/>
        <color rgb="FF7030A0"/>
        <rFont val="Calibri"/>
        <family val="2"/>
        <charset val="204"/>
        <scheme val="minor"/>
      </rPr>
      <t>Фактические  операционные  расходы</t>
    </r>
    <r>
      <rPr>
        <sz val="14"/>
        <color theme="1"/>
        <rFont val="Calibri"/>
        <family val="2"/>
        <charset val="204"/>
        <scheme val="minor"/>
      </rPr>
      <t xml:space="preserve">  по  зданию составляют  7000  руб.  </t>
    </r>
    <r>
      <rPr>
        <b/>
        <sz val="14"/>
        <color rgb="FF7030A0"/>
        <rFont val="Calibri"/>
        <family val="2"/>
        <charset val="204"/>
        <scheme val="minor"/>
      </rPr>
      <t>за  кв.м  общей  площади</t>
    </r>
    <r>
      <rPr>
        <sz val="14"/>
        <color theme="1"/>
        <rFont val="Calibri"/>
        <family val="2"/>
        <charset val="204"/>
        <scheme val="minor"/>
      </rPr>
      <t xml:space="preserve">  в  год,  других  расходов  по  зданию  нет, ставка терминальной капитализации - 10%, затраты на продажу и брокерскую комиссию за  сдачу  площадей  в  аренду  не  учитывать,  требуемая  рыночная  норма  доходности  для подобных  инвестиций  -  16%,  предполагается,  что  все  расходы  и  доходы  остаются постоянными. Дисконтирование выполнять на конец периодов модели, период прогноза - 3 года, результат округлить до миллионов рублей.</t>
    </r>
  </si>
  <si>
    <r>
      <t xml:space="preserve">Компенсация ОР, руб. </t>
    </r>
    <r>
      <rPr>
        <b/>
        <sz val="14"/>
        <color theme="1"/>
        <rFont val="Calibri"/>
        <family val="2"/>
        <charset val="204"/>
        <scheme val="minor"/>
      </rPr>
      <t>от арендуемой</t>
    </r>
  </si>
  <si>
    <t>3.2.3.33. Потенциальный валовый доход объекта недвижимости 40 млн рублей в год. Действительный валовый доход 36 млн рублей в год. Чистый операционный доход 24 млн рублей в год. Ставка дисконтирования 12%. Коэффициент капитализации 10%. Определить рыночную стоимость объекта недвижимости доходным подходом.</t>
  </si>
  <si>
    <t>СД</t>
  </si>
  <si>
    <t>Ctrl + 1</t>
  </si>
  <si>
    <t>Формат ячейки</t>
  </si>
  <si>
    <t>Ctrl + Пробел</t>
  </si>
  <si>
    <t>Выделяет весь текущий столбец, в котором расположена активня ячейка</t>
  </si>
  <si>
    <t>Shift + Пробел</t>
  </si>
  <si>
    <t>Выделяет всю текущую строку, в которой расположена активная ячейка</t>
  </si>
  <si>
    <t>Ctrl + Num+</t>
  </si>
  <si>
    <t>Добавляет ячейки. Если выделена строка/столбец, то добавляет строку/столбец</t>
  </si>
  <si>
    <t>Ctrl + Num-</t>
  </si>
  <si>
    <t>Удаляет ячейки. Если выделена строка/столбец, то удаляет строку/столбец</t>
  </si>
  <si>
    <t>Ctrl + z</t>
  </si>
  <si>
    <t>Отменяет последнее действие</t>
  </si>
  <si>
    <t>Ctrl + Стрелка</t>
  </si>
  <si>
    <t>Перемещает курсор до последней заполненной ячейки в данной строке/столбце</t>
  </si>
  <si>
    <t>Ctrl + Shift + Стрелка</t>
  </si>
  <si>
    <t>Выделяет область от текущей ячейки до последней заполненной</t>
  </si>
  <si>
    <t>Ctrl + с  или Ctrl + Ins</t>
  </si>
  <si>
    <t xml:space="preserve">Копирует данные. </t>
  </si>
  <si>
    <t>Ctrl + v  или Enter</t>
  </si>
  <si>
    <t>Если скопированы ячейки целиком, то для вставки необходимо лишь установить курсор в нужное место и нажать Enter</t>
  </si>
  <si>
    <t>Ctrl + Колёсико мыши</t>
  </si>
  <si>
    <t>Масштаб</t>
  </si>
  <si>
    <t>Ctrl + Shift + 1</t>
  </si>
  <si>
    <t>Ctrl + Shift + 5</t>
  </si>
  <si>
    <t>Процентный формат (Символ % на клавиатуре)</t>
  </si>
  <si>
    <t>Для закрепления ячейки в формуле после указания её адреса можно нажать F4</t>
  </si>
  <si>
    <t>Если выделить несколько столбцов или строк, а потом изменить размер одной строки или столбца, то изменится размер у всего выделения</t>
  </si>
  <si>
    <t>Для быстрого изменения формата нескольких ячеек достаточно скопировать туда ячейку с нужным форматом и удалить данные</t>
  </si>
  <si>
    <t>Функция =РАЗНДАТ(Дата1;Дата2;"m") выводит количество полных месяцев между двумя конкретными датами</t>
  </si>
  <si>
    <t>Если вместо "m" указать "y" - то результатом будет количество полных лет, а если "d" - количество дней</t>
  </si>
  <si>
    <t>Данная функция может быть недокументированной в русскоязычной версии Excel, но работать</t>
  </si>
  <si>
    <t>Дата 1</t>
  </si>
  <si>
    <t>Дата  2</t>
  </si>
  <si>
    <t>Месяцев</t>
  </si>
  <si>
    <t>Лет</t>
  </si>
  <si>
    <t>Дней</t>
  </si>
  <si>
    <t>В ячейках с процентами рекомендуется формат с двумя знаками после запятой</t>
  </si>
  <si>
    <t>Внимательно считаем нули в предложенных вариантах ответа (там, где их много)</t>
  </si>
  <si>
    <t>kvalexam.ru - актуален</t>
  </si>
  <si>
    <t>Один из вариантов подготовки:</t>
  </si>
  <si>
    <t>Теория. Не думая. Ответ - и пошли дальше. И не возвращаемся для проверки!</t>
  </si>
  <si>
    <t>Квалэкзамен - это, в том числе, экзамен на внимательность!</t>
  </si>
  <si>
    <t>В ячейках с числовыми значениями рекомендуется формат с разделителями групп разрядов (Ctrl+Shift+1)</t>
  </si>
  <si>
    <r>
      <t xml:space="preserve">3.2.1.7. Оценщик проводит оценку зарегистрированного объекта недвижимости - </t>
    </r>
    <r>
      <rPr>
        <b/>
        <sz val="14"/>
        <color rgb="FFFF0000"/>
        <rFont val="Calibri"/>
        <family val="2"/>
        <charset val="204"/>
        <scheme val="minor"/>
      </rPr>
      <t>подземного</t>
    </r>
    <r>
      <rPr>
        <b/>
        <sz val="14"/>
        <color theme="1"/>
        <rFont val="Calibri"/>
        <family val="2"/>
        <charset val="204"/>
        <scheme val="minor"/>
      </rPr>
      <t xml:space="preserve"> резервуара из </t>
    </r>
    <r>
      <rPr>
        <b/>
        <sz val="14"/>
        <color rgb="FFFF0000"/>
        <rFont val="Calibri"/>
        <family val="2"/>
        <charset val="204"/>
        <scheme val="minor"/>
      </rPr>
      <t>нержавеющей</t>
    </r>
    <r>
      <rPr>
        <b/>
        <sz val="14"/>
        <color theme="1"/>
        <rFont val="Calibri"/>
        <family val="2"/>
        <charset val="204"/>
        <scheme val="minor"/>
      </rPr>
      <t xml:space="preserve"> стали внешним объемом 30 м3 и массой 10 тонн. В распоряжении оценщика имеются следующие данные: Стоимость изготовления металлоконструкций резервуара из углеродистой стали – 8 руб./кг без учета НДС, из нержавеющей стали – 15 руб./кг, без учета НДС. Стоимость доставки – 5% от стоимости металлоконструкций резервуара. Затраты на монтаж составляют 150% от стоимости металлоконструкций надземных металлических резервуаров и 170% от стоимости металлоконструкций надземных железобетонных и подземных металлических резервуаров. В качестве базы, к которой применяется коэффициент, выступает стоимость резервуаров из нержавеющей стали или железобетона (в зависимости от резервуара). Дополнительно необходимо понести затраты по выемке и вывозу грунта, которые составляют 1000 руб./м3 без учета НДС. Необходимый объем таких работ рассчитывается на основе внешнего объема резервуара и принимается равным ему. Оценщик пришел к выводу, что прибыль предпринимателя равна нулю. </t>
    </r>
    <r>
      <rPr>
        <b/>
        <sz val="14"/>
        <color rgb="FFFF0000"/>
        <rFont val="Calibri"/>
        <family val="2"/>
        <charset val="204"/>
        <scheme val="minor"/>
      </rPr>
      <t>Срок службы</t>
    </r>
    <r>
      <rPr>
        <b/>
        <sz val="14"/>
        <color theme="1"/>
        <rFont val="Calibri"/>
        <family val="2"/>
        <charset val="204"/>
        <scheme val="minor"/>
      </rPr>
      <t xml:space="preserve"> резервуара определен на уровне 20 лет, </t>
    </r>
    <r>
      <rPr>
        <b/>
        <sz val="14"/>
        <color rgb="FFFF0000"/>
        <rFont val="Calibri"/>
        <family val="2"/>
        <charset val="204"/>
        <scheme val="minor"/>
      </rPr>
      <t>оставшийся срок службы</t>
    </r>
    <r>
      <rPr>
        <b/>
        <sz val="14"/>
        <color theme="1"/>
        <rFont val="Calibri"/>
        <family val="2"/>
        <charset val="204"/>
        <scheme val="minor"/>
      </rPr>
      <t xml:space="preserve"> – 15 лет, </t>
    </r>
    <r>
      <rPr>
        <b/>
        <sz val="14"/>
        <color rgb="FFFF0000"/>
        <rFont val="Calibri"/>
        <family val="2"/>
        <charset val="204"/>
        <scheme val="minor"/>
      </rPr>
      <t>хронологический возраст</t>
    </r>
    <r>
      <rPr>
        <b/>
        <sz val="14"/>
        <color theme="1"/>
        <rFont val="Calibri"/>
        <family val="2"/>
        <charset val="204"/>
        <scheme val="minor"/>
      </rPr>
      <t xml:space="preserve"> – 3 года. Функциональное и экономическое устаревание отсутствует. Прибыль предпринимателя принять равной нулю. Все данные приведены для условий России. Определите рыночную стоимость данного резервуара в рамках затратного подхода (без учета НДС). результат округлить до сотен рублей.</t>
    </r>
  </si>
  <si>
    <t>Аккуратнее со скобками и знаками при решении в одно действие</t>
  </si>
  <si>
    <r>
      <t xml:space="preserve">3.2.1.10. Определить рыночную стоимость зарегистрированного объекта недвижимости - магистрального нефтепровода протяженностью 120 километров. Диаметр трубы - 820 мм, толщина стенки трубы -10 мм. Стоимость трубы с учетом изоляции по состоянию на дату публикации ценовой информации - 57 рублей/тонну. Масса трубы диаметром 820 мм с толщиной стенки -10 мм - 202 тонн/километр. Индекс перехода цен от даты публикации ценовой информации к дате оценки -1,15.
Стоимость строительно-монтажных работ по состоянию </t>
    </r>
    <r>
      <rPr>
        <b/>
        <sz val="14"/>
        <color rgb="FFFF0000"/>
        <rFont val="Calibri"/>
        <family val="2"/>
        <charset val="204"/>
        <scheme val="minor"/>
      </rPr>
      <t>на дату оценки</t>
    </r>
    <r>
      <rPr>
        <b/>
        <sz val="14"/>
        <color theme="1"/>
        <rFont val="Calibri"/>
        <family val="2"/>
        <charset val="204"/>
        <scheme val="minor"/>
      </rPr>
      <t xml:space="preserve"> - 16 000 рублей/километр.
</t>
    </r>
    <r>
      <rPr>
        <b/>
        <sz val="14"/>
        <color rgb="FFFF0000"/>
        <rFont val="Calibri"/>
        <family val="2"/>
        <charset val="204"/>
        <scheme val="minor"/>
      </rPr>
      <t>Возраст трубы</t>
    </r>
    <r>
      <rPr>
        <b/>
        <sz val="14"/>
        <color theme="1"/>
        <rFont val="Calibri"/>
        <family val="2"/>
        <charset val="204"/>
        <scheme val="minor"/>
      </rPr>
      <t xml:space="preserve"> -10 лет, </t>
    </r>
    <r>
      <rPr>
        <b/>
        <sz val="14"/>
        <color rgb="FFFF0000"/>
        <rFont val="Calibri"/>
        <family val="2"/>
        <charset val="204"/>
        <scheme val="minor"/>
      </rPr>
      <t>полный срок службы</t>
    </r>
    <r>
      <rPr>
        <b/>
        <sz val="14"/>
        <color theme="1"/>
        <rFont val="Calibri"/>
        <family val="2"/>
        <charset val="204"/>
        <scheme val="minor"/>
      </rPr>
      <t xml:space="preserve"> - 29 лет, </t>
    </r>
    <r>
      <rPr>
        <b/>
        <sz val="14"/>
        <color rgb="FFFF0000"/>
        <rFont val="Calibri"/>
        <family val="2"/>
        <charset val="204"/>
        <scheme val="minor"/>
      </rPr>
      <t>оставшийся срок службы</t>
    </r>
    <r>
      <rPr>
        <b/>
        <sz val="14"/>
        <color theme="1"/>
        <rFont val="Calibri"/>
        <family val="2"/>
        <charset val="204"/>
        <scheme val="minor"/>
      </rPr>
      <t xml:space="preserve"> 12 лет. Функциональное и экономическое устаревание и прибыль предпринимателя принять равной нулю. Результат округлить до тысяч рублей.</t>
    </r>
  </si>
  <si>
    <t>Износ начисляется на всё: и на трубу, и на СМР</t>
  </si>
  <si>
    <r>
      <t xml:space="preserve">3.2.1.12. (4 балла).
Определить в ценах </t>
    </r>
    <r>
      <rPr>
        <b/>
        <sz val="14"/>
        <color rgb="FFFF0000"/>
        <rFont val="Calibri"/>
        <family val="2"/>
        <charset val="204"/>
        <scheme val="minor"/>
      </rPr>
      <t>2016</t>
    </r>
    <r>
      <rPr>
        <b/>
        <sz val="14"/>
        <color theme="1"/>
        <rFont val="Calibri"/>
        <family val="2"/>
        <charset val="204"/>
        <scheme val="minor"/>
      </rPr>
      <t xml:space="preserve"> года затраты на замещение / воспроизводство с учетом физического износа складского здания из железобетона. Здание расположено в </t>
    </r>
    <r>
      <rPr>
        <b/>
        <sz val="14"/>
        <color rgb="FFFF0000"/>
        <rFont val="Calibri"/>
        <family val="2"/>
        <charset val="204"/>
        <scheme val="minor"/>
      </rPr>
      <t>Саратовской</t>
    </r>
    <r>
      <rPr>
        <b/>
        <sz val="14"/>
        <color theme="1"/>
        <rFont val="Calibri"/>
        <family val="2"/>
        <charset val="204"/>
        <scheme val="minor"/>
      </rPr>
      <t xml:space="preserve"> области. Следует использовать только один наиболее близкий аналог и учесть корректировку на объем.
Отрасль – </t>
    </r>
    <r>
      <rPr>
        <b/>
        <sz val="14"/>
        <color rgb="FFFF0000"/>
        <rFont val="Calibri"/>
        <family val="2"/>
        <charset val="204"/>
        <scheme val="minor"/>
      </rPr>
      <t>деревообработка</t>
    </r>
    <r>
      <rPr>
        <b/>
        <sz val="14"/>
        <color theme="1"/>
        <rFont val="Calibri"/>
        <family val="2"/>
        <charset val="204"/>
        <scheme val="minor"/>
      </rPr>
      <t xml:space="preserve">. Строительный объем объекта оценки 8000 куб.м. В справочнике приведены удельные показатели стоимости строительства в ценах </t>
    </r>
    <r>
      <rPr>
        <b/>
        <sz val="14"/>
        <color rgb="FFFF0000"/>
        <rFont val="Calibri"/>
        <family val="2"/>
        <charset val="204"/>
        <scheme val="minor"/>
      </rPr>
      <t>Московской</t>
    </r>
    <r>
      <rPr>
        <b/>
        <sz val="14"/>
        <color theme="1"/>
        <rFont val="Calibri"/>
        <family val="2"/>
        <charset val="204"/>
        <scheme val="minor"/>
      </rPr>
      <t xml:space="preserve"> области по состоянию на </t>
    </r>
    <r>
      <rPr>
        <b/>
        <sz val="14"/>
        <color rgb="FFFF0000"/>
        <rFont val="Calibri"/>
        <family val="2"/>
        <charset val="204"/>
        <scheme val="minor"/>
      </rPr>
      <t>2014</t>
    </r>
    <r>
      <rPr>
        <b/>
        <sz val="14"/>
        <color theme="1"/>
        <rFont val="Calibri"/>
        <family val="2"/>
        <charset val="204"/>
        <scheme val="minor"/>
      </rPr>
      <t xml:space="preserve"> год. </t>
    </r>
    <r>
      <rPr>
        <b/>
        <sz val="14"/>
        <color rgb="FFFF0000"/>
        <rFont val="Calibri"/>
        <family val="2"/>
        <charset val="204"/>
        <scheme val="minor"/>
      </rPr>
      <t>Возраст</t>
    </r>
    <r>
      <rPr>
        <b/>
        <sz val="14"/>
        <color theme="1"/>
        <rFont val="Calibri"/>
        <family val="2"/>
        <charset val="204"/>
        <scheme val="minor"/>
      </rPr>
      <t xml:space="preserve"> объекта оценки 10 лет, </t>
    </r>
    <r>
      <rPr>
        <b/>
        <sz val="14"/>
        <color rgb="FFFF0000"/>
        <rFont val="Calibri"/>
        <family val="2"/>
        <charset val="204"/>
        <scheme val="minor"/>
      </rPr>
      <t>полный срок службы</t>
    </r>
    <r>
      <rPr>
        <b/>
        <sz val="14"/>
        <color theme="1"/>
        <rFont val="Calibri"/>
        <family val="2"/>
        <charset val="204"/>
        <scheme val="minor"/>
      </rPr>
      <t xml:space="preserve"> 40 лет, </t>
    </r>
    <r>
      <rPr>
        <b/>
        <sz val="14"/>
        <color rgb="FFFF0000"/>
        <rFont val="Calibri"/>
        <family val="2"/>
        <charset val="204"/>
        <scheme val="minor"/>
      </rPr>
      <t>оставшийся срок службы</t>
    </r>
    <r>
      <rPr>
        <b/>
        <sz val="14"/>
        <color theme="1"/>
        <rFont val="Calibri"/>
        <family val="2"/>
        <charset val="204"/>
        <scheme val="minor"/>
      </rPr>
      <t xml:space="preserve"> 27 лет. Износ определить по методу эффективного возраста. Прибыль предпринимателя, функциональное и внешнее устаревание равны нулю. Результат округлить до сотен тысяч.
Данные об объектах-аналогах из отраслевого справочника.</t>
    </r>
  </si>
  <si>
    <r>
      <t xml:space="preserve">3.2.1.14. (4 балла). При каком значении прибыли предпринимателя (в % от выручки от продажи) выгоднее будет вариант строительства </t>
    </r>
    <r>
      <rPr>
        <b/>
        <sz val="14"/>
        <color rgb="FFFF0000"/>
        <rFont val="Calibri"/>
        <family val="2"/>
        <charset val="204"/>
        <scheme val="minor"/>
      </rPr>
      <t>жилого дома</t>
    </r>
    <r>
      <rPr>
        <b/>
        <sz val="14"/>
        <color theme="1"/>
        <rFont val="Calibri"/>
        <family val="2"/>
        <charset val="204"/>
        <scheme val="minor"/>
      </rPr>
      <t>? Есть два варианта использования свободного ЗУ:
1 вариант использования: Строительство офисного здания (общая площадью 5000 кв.м., арендопригодная - 4500 кв.м., арендная ставка 10 000 руб., загрузка 90%, операционные расходы составляют 1500 руб./кв.м. арендопригодной площади, коэффициент капитализации 12%, затраты на строительство 30 000 руб./кв.м. прибыль предпринимателя – 20% от цены продажи здания).
2 вариант использования: Строительство жилого дома (общая площадь - 5000 кв.м., площадь квартир - 4 000 кв.м., цена реализации квартир - 90 000 руб./кв.м., затраты на строительство - 45 000 руб./кв.м.)</t>
    </r>
  </si>
  <si>
    <r>
      <t xml:space="preserve">3.2.1.16. Затраты на создание зарегистрированного объекта недвижимости - металлического резервуара объемом 120 м3 составляют 110 000 руб. Коэффициент, учитывающий стоимость доставки и монтажа резервуара, составляет 1.7. Затраты на </t>
    </r>
    <r>
      <rPr>
        <b/>
        <sz val="14"/>
        <color rgb="FFFF0000"/>
        <rFont val="Calibri"/>
        <family val="2"/>
        <charset val="204"/>
        <scheme val="minor"/>
      </rPr>
      <t>ускоренную</t>
    </r>
    <r>
      <rPr>
        <b/>
        <sz val="14"/>
        <color theme="1"/>
        <rFont val="Calibri"/>
        <family val="2"/>
        <charset val="204"/>
        <scheme val="minor"/>
      </rPr>
      <t xml:space="preserve"> доставку металлоконструкций - 15 000 руб. Надбавка за </t>
    </r>
    <r>
      <rPr>
        <b/>
        <sz val="14"/>
        <color rgb="FFFF0000"/>
        <rFont val="Calibri"/>
        <family val="2"/>
        <charset val="204"/>
        <scheme val="minor"/>
      </rPr>
      <t>срочное</t>
    </r>
    <r>
      <rPr>
        <b/>
        <sz val="14"/>
        <color theme="1"/>
        <rFont val="Calibri"/>
        <family val="2"/>
        <charset val="204"/>
        <scheme val="minor"/>
      </rPr>
      <t xml:space="preserve"> оформление документации - 10% от стоимости металлоконструкций. Необходимо рассчитать стоимость замещения смонтированного резервуара объемом 150 куб. м с использованием коэффициента торможения. Для расчета коэффициента торможения использовать данные: затраты на создание металлического резервуара объемом 100 м3 составляют 100 000 руб., объемом 175 м3 - 140 000 руб.</t>
    </r>
  </si>
  <si>
    <r>
      <t xml:space="preserve">3.2.1.19. Затраты на замещение улучшений без учета износов и устареваний составляют 500 тыс. руб. Срок экономической жизни улучшений составляет 50 лет. Эффективный возраст улучшений составляет 20 лет. Сколько составляет величина </t>
    </r>
    <r>
      <rPr>
        <b/>
        <sz val="14"/>
        <color rgb="FFFF0000"/>
        <rFont val="Calibri"/>
        <family val="2"/>
        <charset val="204"/>
        <scheme val="minor"/>
      </rPr>
      <t>износа</t>
    </r>
    <r>
      <rPr>
        <b/>
        <sz val="14"/>
        <color theme="1"/>
        <rFont val="Calibri"/>
        <family val="2"/>
        <charset val="204"/>
        <scheme val="minor"/>
      </rPr>
      <t>, определенная методом эффективного возраста, если хронологический возраст улучшений 25 лет?</t>
    </r>
  </si>
  <si>
    <r>
      <t xml:space="preserve">3.2.2.1. Объект оценки - право собственности на коттедж и земельный участок. Сопоставимый </t>
    </r>
    <r>
      <rPr>
        <b/>
        <sz val="14"/>
        <color rgb="FFFF0000"/>
        <rFont val="Calibri"/>
        <family val="2"/>
        <charset val="204"/>
        <scheme val="minor"/>
      </rPr>
      <t>объект</t>
    </r>
    <r>
      <rPr>
        <b/>
        <sz val="14"/>
        <color theme="1"/>
        <rFont val="Calibri"/>
        <family val="2"/>
        <charset val="204"/>
        <scheme val="minor"/>
      </rPr>
      <t xml:space="preserve"> был продан за 1 000 000 руб. и отличается тем, что </t>
    </r>
    <r>
      <rPr>
        <b/>
        <sz val="14"/>
        <color rgb="FFFF0000"/>
        <rFont val="Calibri"/>
        <family val="2"/>
        <charset val="204"/>
        <scheme val="minor"/>
      </rPr>
      <t>имеет</t>
    </r>
    <r>
      <rPr>
        <b/>
        <sz val="14"/>
        <color theme="1"/>
        <rFont val="Calibri"/>
        <family val="2"/>
        <charset val="204"/>
        <scheme val="minor"/>
      </rPr>
      <t xml:space="preserve"> на 50 кв.м </t>
    </r>
    <r>
      <rPr>
        <b/>
        <sz val="14"/>
        <color rgb="FFFF0000"/>
        <rFont val="Calibri"/>
        <family val="2"/>
        <charset val="204"/>
        <scheme val="minor"/>
      </rPr>
      <t>большую</t>
    </r>
    <r>
      <rPr>
        <b/>
        <sz val="14"/>
        <color theme="1"/>
        <rFont val="Calibri"/>
        <family val="2"/>
        <charset val="204"/>
        <scheme val="minor"/>
      </rPr>
      <t xml:space="preserve"> площадь дома, </t>
    </r>
    <r>
      <rPr>
        <b/>
        <sz val="14"/>
        <color rgb="FFFF0000"/>
        <rFont val="Calibri"/>
        <family val="2"/>
        <charset val="204"/>
        <scheme val="minor"/>
      </rPr>
      <t>а также</t>
    </r>
    <r>
      <rPr>
        <b/>
        <sz val="14"/>
        <color theme="1"/>
        <rFont val="Calibri"/>
        <family val="2"/>
        <charset val="204"/>
        <scheme val="minor"/>
      </rPr>
      <t xml:space="preserve"> отдельно-стоящий </t>
    </r>
    <r>
      <rPr>
        <b/>
        <sz val="14"/>
        <color rgb="FFFF0000"/>
        <rFont val="Calibri"/>
        <family val="2"/>
        <charset val="204"/>
        <scheme val="minor"/>
      </rPr>
      <t>гараж</t>
    </r>
    <r>
      <rPr>
        <b/>
        <sz val="14"/>
        <color theme="1"/>
        <rFont val="Calibri"/>
        <family val="2"/>
        <charset val="204"/>
        <scheme val="minor"/>
      </rPr>
      <t>. Из анализа продаж оценщик выяснил, что наличие гаража увеличивает рыночную цену на 150 000 руб., а каждый дополнительный кв. м площади коттеджа прибавляет 8 000 руб. к рыночной цене объекта. Считать, что иные характеристики объекта и аналога сопоставимы. Определить рыночную стоимость Объекта оценки. Результат округлить до тысяч рублей.</t>
    </r>
  </si>
  <si>
    <t>"Нагрузка"</t>
  </si>
  <si>
    <t>Ответ: Недостаточно данных для расчета</t>
  </si>
  <si>
    <t>Лайфхак: итоговый ответ будет близок к РС объекта в собственности</t>
  </si>
  <si>
    <r>
      <t xml:space="preserve">3.2.2.6. КВАРТИРА. Определить рыночную стоимость двухкомнатной квартиры во введенном в эксплуатацию доме эконом-класса, находящемся в Юго-восточном административном округе населенного пункта. </t>
    </r>
    <r>
      <rPr>
        <b/>
        <sz val="14"/>
        <color rgb="FFFF0000"/>
        <rFont val="Calibri"/>
        <family val="2"/>
        <charset val="204"/>
        <scheme val="minor"/>
      </rPr>
      <t>Общая</t>
    </r>
    <r>
      <rPr>
        <b/>
        <sz val="14"/>
        <color theme="1"/>
        <rFont val="Calibri"/>
        <family val="2"/>
        <charset val="204"/>
        <scheme val="minor"/>
      </rPr>
      <t xml:space="preserve"> площадь квартиры 60 кв.м, жилая площадь квартиры 41 кв.м. Разница между ценами сделок и ценами предложений составляет 7%. Для расчета удельной стоимости объекта скорректированные цены аналогов учитывайте с одинаковыми весами, корректировки применяйте последовательно. Результат расчета округлите до десятков тысяч рублей. Данные для расчета приведены в таблицах далее. Считать, что никакие корректировки, кроме перечисленных в Таблице №1, не требуются.</t>
    </r>
  </si>
  <si>
    <t>Примечание: можно считать последовательно, как привыкли, после каждой корректировки рассчитывая промежуточную цену аналога, но это лишнее время.</t>
  </si>
  <si>
    <r>
      <rPr>
        <sz val="14"/>
        <color rgb="FFFF0000"/>
        <rFont val="Calibri"/>
        <family val="2"/>
        <charset val="204"/>
        <scheme val="minor"/>
      </rPr>
      <t>Общая</t>
    </r>
    <r>
      <rPr>
        <sz val="14"/>
        <color theme="1"/>
        <rFont val="Calibri"/>
        <family val="2"/>
        <charset val="204"/>
        <scheme val="minor"/>
      </rPr>
      <t xml:space="preserve"> площадь, кв.м.</t>
    </r>
  </si>
  <si>
    <r>
      <t xml:space="preserve">3.2.2.7. Определить рыночную стоимость здания </t>
    </r>
    <r>
      <rPr>
        <b/>
        <sz val="14"/>
        <color rgb="FFFF0000"/>
        <rFont val="Calibri"/>
        <family val="2"/>
        <charset val="204"/>
        <scheme val="minor"/>
      </rPr>
      <t>с</t>
    </r>
    <r>
      <rPr>
        <b/>
        <sz val="14"/>
        <color theme="1"/>
        <rFont val="Calibri"/>
        <family val="2"/>
        <charset val="204"/>
        <scheme val="minor"/>
      </rPr>
      <t xml:space="preserve"> дебаркадером площадью 1000 кв.м (без учета площади дебаркадера). Цена аналога (здания </t>
    </r>
    <r>
      <rPr>
        <b/>
        <sz val="14"/>
        <color rgb="FFFF0000"/>
        <rFont val="Calibri"/>
        <family val="2"/>
        <charset val="204"/>
        <scheme val="minor"/>
      </rPr>
      <t>без</t>
    </r>
    <r>
      <rPr>
        <b/>
        <sz val="14"/>
        <color theme="1"/>
        <rFont val="Calibri"/>
        <family val="2"/>
        <charset val="204"/>
        <scheme val="minor"/>
      </rPr>
      <t xml:space="preserve"> дебаркадера) – 40 000 руб./кв.м. </t>
    </r>
    <r>
      <rPr>
        <b/>
        <sz val="14"/>
        <color rgb="FFFF0000"/>
        <rFont val="Calibri"/>
        <family val="2"/>
        <charset val="204"/>
        <scheme val="minor"/>
      </rPr>
      <t>При прочих равных, объекты, состояние которых аналогично состоянию оцениваемого здания, на 30% дешевле объектов с состоянием, аналогичным состоянию аналога*</t>
    </r>
    <r>
      <rPr>
        <b/>
        <sz val="14"/>
        <color theme="1"/>
        <rFont val="Calibri"/>
        <family val="2"/>
        <charset val="204"/>
        <scheme val="minor"/>
      </rPr>
      <t>. Абсолютная корректировка на наличие дебаркадера - 50 000 руб. Для решения данной задачи первой вносится относительная корректировка. Внесение иных корректировок не требуется. Результат округлить до тысяч рублей.</t>
    </r>
  </si>
  <si>
    <t>*Внимательно перефразировать в более понятное выражение</t>
  </si>
  <si>
    <t>Проверка себя</t>
  </si>
  <si>
    <r>
      <t xml:space="preserve">3.2.2.10. Определить рыночную стоимость земельного участка площадью 2 га, категории земли поселений, разрешенное использование – строительство </t>
    </r>
    <r>
      <rPr>
        <b/>
        <sz val="14"/>
        <color rgb="FFFF0000"/>
        <rFont val="Calibri"/>
        <family val="2"/>
        <charset val="204"/>
        <scheme val="minor"/>
      </rPr>
      <t>торговых</t>
    </r>
    <r>
      <rPr>
        <b/>
        <sz val="14"/>
        <color theme="1"/>
        <rFont val="Calibri"/>
        <family val="2"/>
        <charset val="204"/>
        <scheme val="minor"/>
      </rPr>
      <t xml:space="preserve"> объектов. Имеется информация о следующих предложениях на продажу земельных участков (цена предложения, площадь, категория, разрешенное использование).
Для расчета предположить, что НЭИ для всех предложений соответствует разрешенному использованию, корректировка на уторговывание 5%, корректировка цены единицы в сравнении – 1га – аналога на площадь при отклонении площади аналога от площади объекта на </t>
    </r>
    <r>
      <rPr>
        <b/>
        <sz val="14"/>
        <color rgb="FFFF0000"/>
        <rFont val="Calibri"/>
        <family val="2"/>
        <charset val="204"/>
        <scheme val="minor"/>
      </rPr>
      <t>+/10%</t>
    </r>
    <r>
      <rPr>
        <b/>
        <sz val="14"/>
        <color theme="1"/>
        <rFont val="Calibri"/>
        <family val="2"/>
        <charset val="204"/>
        <scheme val="minor"/>
      </rPr>
      <t xml:space="preserve"> составляет соответственно +/-3%. Значения прочих характеристик считать одинаковыми, веса использованных аналогов взять равными. Результат округлить до десятков тысяч.</t>
    </r>
  </si>
  <si>
    <t>В отношении площади в условии ошибки нет. Если площадь аналога больше, то его удельная цена дешевле, и корректировка должна быть в плюс.</t>
  </si>
  <si>
    <r>
      <t xml:space="preserve">Строительство </t>
    </r>
    <r>
      <rPr>
        <sz val="14"/>
        <color rgb="FFFF0000"/>
        <rFont val="Calibri"/>
        <family val="2"/>
        <charset val="204"/>
        <scheme val="minor"/>
      </rPr>
      <t>ТЦ</t>
    </r>
  </si>
  <si>
    <r>
      <t xml:space="preserve">Строительство </t>
    </r>
    <r>
      <rPr>
        <sz val="14"/>
        <color rgb="FFFF0000"/>
        <rFont val="Calibri"/>
        <family val="2"/>
        <charset val="204"/>
        <scheme val="minor"/>
      </rPr>
      <t>торговых объектов</t>
    </r>
  </si>
  <si>
    <r>
      <t xml:space="preserve">3.2.2.12. Валовый рентный мультипликатор для рынка офисных помещений составляет 5. Определить рыночную стоимость офисного помещения общей площадью 100 кв. м., если известно, что оно сдано в аренду по ставке 1000 руб/кв.м., общей площади </t>
    </r>
    <r>
      <rPr>
        <b/>
        <sz val="14"/>
        <color rgb="FFFF0000"/>
        <rFont val="Calibri"/>
        <family val="2"/>
        <charset val="204"/>
        <scheme val="minor"/>
      </rPr>
      <t>в месяц*</t>
    </r>
    <r>
      <rPr>
        <b/>
        <sz val="14"/>
        <color theme="1"/>
        <rFont val="Calibri"/>
        <family val="2"/>
        <charset val="204"/>
        <scheme val="minor"/>
      </rPr>
      <t xml:space="preserve">, </t>
    </r>
    <r>
      <rPr>
        <b/>
        <sz val="14"/>
        <color rgb="FFFF0000"/>
        <rFont val="Calibri"/>
        <family val="2"/>
        <charset val="204"/>
        <scheme val="minor"/>
      </rPr>
      <t>дополнительно</t>
    </r>
    <r>
      <rPr>
        <b/>
        <sz val="14"/>
        <color theme="1"/>
        <rFont val="Calibri"/>
        <family val="2"/>
        <charset val="204"/>
        <scheme val="minor"/>
      </rPr>
      <t xml:space="preserve"> арендатор возмещает операционные расходы из расчета 100 руб/кв.м. общей площади </t>
    </r>
    <r>
      <rPr>
        <b/>
        <sz val="14"/>
        <color rgb="FFFF0000"/>
        <rFont val="Calibri"/>
        <family val="2"/>
        <charset val="204"/>
        <scheme val="minor"/>
      </rPr>
      <t>в месяц</t>
    </r>
    <r>
      <rPr>
        <b/>
        <sz val="14"/>
        <color theme="1"/>
        <rFont val="Calibri"/>
        <family val="2"/>
        <charset val="204"/>
        <scheme val="minor"/>
      </rPr>
      <t>. Ставки аренды и возмещения операционных расходов соответствуют рыночным. Результат округлить до сотен тысяч руб.</t>
    </r>
  </si>
  <si>
    <t>*Внимательнее к этим моментам на экзамене. Может быть в месяц, может быть в год, а может быть один показатель - в месяц, а другой - в год.</t>
  </si>
  <si>
    <r>
      <t xml:space="preserve">3.2.2.20. Определить рыночную стоимость земельного участка площадью 2 га, категории земли промышленности, разрешенное использование – строительство </t>
    </r>
    <r>
      <rPr>
        <b/>
        <sz val="14"/>
        <color rgb="FFFF0000"/>
        <rFont val="Calibri"/>
        <family val="2"/>
        <charset val="204"/>
        <scheme val="minor"/>
      </rPr>
      <t>административно-офисных объектов</t>
    </r>
    <r>
      <rPr>
        <b/>
        <sz val="14"/>
        <color theme="1"/>
        <rFont val="Calibri"/>
        <family val="2"/>
        <charset val="204"/>
        <scheme val="minor"/>
      </rPr>
      <t>. Имеется информация о следующих предложениях на продажу земельных участков (цена предложения, площадь, категория, разрешенное использование).
Для расчета предположить, что НЭИ для всех предложений соответствует разрешенному использованию, корректировка на уторговывание 7%, корректировка цены единицы сравнения – 1га – аналога на площадь при отклонении площади аналога от площади объекта на +/- 10% составляет соответственно +/-3%. Значения прочих характеристик считать одинаковыми, веса использованных аналогов взять равными. Результат округлить до десятков тысяч.</t>
    </r>
  </si>
  <si>
    <r>
      <t xml:space="preserve">Строительство </t>
    </r>
    <r>
      <rPr>
        <sz val="14"/>
        <color rgb="FFFF0000"/>
        <rFont val="Calibri"/>
        <family val="2"/>
        <charset val="204"/>
        <scheme val="minor"/>
      </rPr>
      <t>офиса</t>
    </r>
  </si>
  <si>
    <r>
      <t xml:space="preserve">Строительство </t>
    </r>
    <r>
      <rPr>
        <sz val="14"/>
        <color rgb="FFFF0000"/>
        <rFont val="Calibri"/>
        <family val="2"/>
        <charset val="204"/>
        <scheme val="minor"/>
      </rPr>
      <t>административного</t>
    </r>
    <r>
      <rPr>
        <sz val="14"/>
        <color theme="1"/>
        <rFont val="Calibri"/>
        <family val="2"/>
        <charset val="204"/>
        <scheme val="minor"/>
      </rPr>
      <t xml:space="preserve"> здания</t>
    </r>
  </si>
  <si>
    <r>
      <t xml:space="preserve">3.2.2.21. Определить рыночную стоимость земельного участка </t>
    </r>
    <r>
      <rPr>
        <b/>
        <sz val="14"/>
        <color rgb="FFFF0000"/>
        <rFont val="Calibri"/>
        <family val="2"/>
        <charset val="204"/>
        <scheme val="minor"/>
      </rPr>
      <t>под жилую</t>
    </r>
    <r>
      <rPr>
        <b/>
        <sz val="14"/>
        <color theme="1"/>
        <rFont val="Calibri"/>
        <family val="2"/>
        <charset val="204"/>
        <scheme val="minor"/>
      </rPr>
      <t xml:space="preserve"> застройку. Площадь участка 2 га, на нем можно построить 15000 кв.м жилых площадей. Известна информация о следующих сделках (считать, что описанные ниже участки сопоставимы с оцениваемым по всем характеристикам кроме указанных в описании):
А. Участок площадью 0,5 га, под строительство офисного центра общей площадью 10 тыс. кв.м, цена продажи 10 млн руб.
Б. Участок площадью 1 га под строительство 5 тыс. кв.м </t>
    </r>
    <r>
      <rPr>
        <b/>
        <sz val="14"/>
        <color rgb="FFFF0000"/>
        <rFont val="Calibri"/>
        <family val="2"/>
        <charset val="204"/>
        <scheme val="minor"/>
      </rPr>
      <t>жилья</t>
    </r>
    <r>
      <rPr>
        <b/>
        <sz val="14"/>
        <color theme="1"/>
        <rFont val="Calibri"/>
        <family val="2"/>
        <charset val="204"/>
        <scheme val="minor"/>
      </rPr>
      <t xml:space="preserve">, цена продажи 15 млн руб.
В. Участок общей площадью 2 га под строительство гостиницы площадью 15000 кв.м, цена продажи 30 млн руб.
Г. Участок общей площадью 2,5 га под строительство 20000 кв.м </t>
    </r>
    <r>
      <rPr>
        <b/>
        <sz val="14"/>
        <color rgb="FFFF0000"/>
        <rFont val="Calibri"/>
        <family val="2"/>
        <charset val="204"/>
        <scheme val="minor"/>
      </rPr>
      <t>жилья</t>
    </r>
    <r>
      <rPr>
        <b/>
        <sz val="14"/>
        <color theme="1"/>
        <rFont val="Calibri"/>
        <family val="2"/>
        <charset val="204"/>
        <scheme val="minor"/>
      </rPr>
      <t>, цена продажи 60 млн руб.</t>
    </r>
  </si>
  <si>
    <r>
      <t xml:space="preserve">3.2.2.23. Влияние общей площади на стоимость объекта недвижимости описывается зависимостью C = 500 – 2*S. Данная зависимость определена при анализе объектов площадью от </t>
    </r>
    <r>
      <rPr>
        <b/>
        <sz val="14"/>
        <color rgb="FF00B050"/>
        <rFont val="Calibri"/>
        <family val="2"/>
        <charset val="204"/>
        <scheme val="minor"/>
      </rPr>
      <t>50</t>
    </r>
    <r>
      <rPr>
        <b/>
        <sz val="14"/>
        <color theme="1"/>
        <rFont val="Calibri"/>
        <family val="2"/>
        <charset val="204"/>
        <scheme val="minor"/>
      </rPr>
      <t xml:space="preserve"> до </t>
    </r>
    <r>
      <rPr>
        <b/>
        <sz val="14"/>
        <color rgb="FF00B050"/>
        <rFont val="Calibri"/>
        <family val="2"/>
        <charset val="204"/>
        <scheme val="minor"/>
      </rPr>
      <t>90</t>
    </r>
    <r>
      <rPr>
        <b/>
        <sz val="14"/>
        <color theme="1"/>
        <rFont val="Calibri"/>
        <family val="2"/>
        <charset val="204"/>
        <scheme val="minor"/>
      </rPr>
      <t xml:space="preserve"> кв.м. Площадь аналога </t>
    </r>
    <r>
      <rPr>
        <b/>
        <sz val="14"/>
        <color rgb="FF00B050"/>
        <rFont val="Calibri"/>
        <family val="2"/>
        <charset val="204"/>
        <scheme val="minor"/>
      </rPr>
      <t>70</t>
    </r>
    <r>
      <rPr>
        <b/>
        <sz val="14"/>
        <color theme="1"/>
        <rFont val="Calibri"/>
        <family val="2"/>
        <charset val="204"/>
        <scheme val="minor"/>
      </rPr>
      <t xml:space="preserve"> кв.м. Определить величину корректировки на разницу в площади (в процентах, с учетом знака) для объекта площадью </t>
    </r>
    <r>
      <rPr>
        <b/>
        <sz val="14"/>
        <color rgb="FFFF0000"/>
        <rFont val="Calibri"/>
        <family val="2"/>
        <charset val="204"/>
        <scheme val="minor"/>
      </rPr>
      <t>200</t>
    </r>
    <r>
      <rPr>
        <b/>
        <sz val="14"/>
        <color theme="1"/>
        <rFont val="Calibri"/>
        <family val="2"/>
        <charset val="204"/>
        <scheme val="minor"/>
      </rPr>
      <t xml:space="preserve"> кв.м.</t>
    </r>
  </si>
  <si>
    <r>
      <t xml:space="preserve">3.2.3.1. Определить годовой </t>
    </r>
    <r>
      <rPr>
        <b/>
        <sz val="14"/>
        <color rgb="FFFF0000"/>
        <rFont val="Calibri"/>
        <family val="2"/>
        <charset val="204"/>
        <scheme val="minor"/>
      </rPr>
      <t>потенциальный</t>
    </r>
    <r>
      <rPr>
        <b/>
        <sz val="14"/>
        <color theme="1"/>
        <rFont val="Calibri"/>
        <family val="2"/>
        <charset val="204"/>
        <scheme val="minor"/>
      </rPr>
      <t xml:space="preserve"> валовой доход для объекта недвижимости. Общая площадь помещений 450 кв.м. Арендопригодная площадь помещений 410 кв. м. Рыночная арендная плата 7000 руб./кв.м арендопригодной площади в год. Вакантная площадь 5%. Результат округлить до тысяч рублей.</t>
    </r>
  </si>
  <si>
    <r>
      <t xml:space="preserve">3.2.3.6. Рассчитать рыночную стоимость </t>
    </r>
    <r>
      <rPr>
        <b/>
        <sz val="14"/>
        <color rgb="FFFF0000"/>
        <rFont val="Calibri"/>
        <family val="2"/>
        <charset val="204"/>
        <scheme val="minor"/>
      </rPr>
      <t>земельного участка</t>
    </r>
    <r>
      <rPr>
        <b/>
        <sz val="14"/>
        <color theme="1"/>
        <rFont val="Calibri"/>
        <family val="2"/>
        <charset val="204"/>
        <scheme val="minor"/>
      </rPr>
      <t xml:space="preserve">, НЭИ которого заключается в строительстве офисного здания общей площадью 5000 кв.м, арендопригодная площадь 4500 кв.м. Известно, что затраты на строительство составят 400 млн руб. и будут понесены в течение </t>
    </r>
    <r>
      <rPr>
        <b/>
        <sz val="14"/>
        <color rgb="FFFF0000"/>
        <rFont val="Calibri"/>
        <family val="2"/>
        <charset val="204"/>
        <scheme val="minor"/>
      </rPr>
      <t>двух лет</t>
    </r>
    <r>
      <rPr>
        <b/>
        <sz val="14"/>
        <color theme="1"/>
        <rFont val="Calibri"/>
        <family val="2"/>
        <charset val="204"/>
        <scheme val="minor"/>
      </rPr>
      <t xml:space="preserve"> равными долями, </t>
    </r>
    <r>
      <rPr>
        <b/>
        <sz val="14"/>
        <color rgb="FFFF0000"/>
        <rFont val="Calibri"/>
        <family val="2"/>
        <charset val="204"/>
        <scheme val="minor"/>
      </rPr>
      <t>после чего объект будет введен в эксплуатацию</t>
    </r>
    <r>
      <rPr>
        <b/>
        <sz val="14"/>
        <color theme="1"/>
        <rFont val="Calibri"/>
        <family val="2"/>
        <charset val="204"/>
        <scheme val="minor"/>
      </rPr>
      <t xml:space="preserve">. Потенциальный арендный доход для собственника составляет 20000 руб за кв.м арендопригодной площади в год (все расходы по эксплуатации и содержанию здания оплачивают имеющиеся арендаторы независимо от общей загрузки), </t>
    </r>
    <r>
      <rPr>
        <b/>
        <sz val="14"/>
        <color rgb="FFFF0000"/>
        <rFont val="Calibri"/>
        <family val="2"/>
        <charset val="204"/>
        <scheme val="minor"/>
      </rPr>
      <t>в первый год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rgb="FF7030A0"/>
        <rFont val="Calibri"/>
        <family val="2"/>
        <charset val="204"/>
        <scheme val="minor"/>
      </rPr>
      <t>эксплуатации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rgb="FFFF0000"/>
        <rFont val="Calibri"/>
        <family val="2"/>
        <charset val="204"/>
        <scheme val="minor"/>
      </rPr>
      <t>загрузка</t>
    </r>
    <r>
      <rPr>
        <b/>
        <sz val="14"/>
        <color theme="1"/>
        <rFont val="Calibri"/>
        <family val="2"/>
        <charset val="204"/>
        <scheme val="minor"/>
      </rPr>
      <t xml:space="preserve"> составит 70%, а, начиная со следующего, стабилизируется на 85%. Все ценовые показатели сохраняются неизменными. Ставка терминальной капитализации составляет 10%, затраты на продажу и брокерскую комиссию за сдачу площадей в аренду не учитывать, ставка дисконтирования </t>
    </r>
    <r>
      <rPr>
        <b/>
        <sz val="14"/>
        <color rgb="FFFF0000"/>
        <rFont val="Calibri"/>
        <family val="2"/>
        <charset val="204"/>
        <scheme val="minor"/>
      </rPr>
      <t>операционного</t>
    </r>
    <r>
      <rPr>
        <b/>
        <sz val="14"/>
        <color theme="1"/>
        <rFont val="Calibri"/>
        <family val="2"/>
        <charset val="204"/>
        <scheme val="minor"/>
      </rPr>
      <t xml:space="preserve"> периода 16%, </t>
    </r>
    <r>
      <rPr>
        <b/>
        <sz val="14"/>
        <color rgb="FFFF0000"/>
        <rFont val="Calibri"/>
        <family val="2"/>
        <charset val="204"/>
        <scheme val="minor"/>
      </rPr>
      <t>инвестиционного</t>
    </r>
    <r>
      <rPr>
        <b/>
        <sz val="14"/>
        <color theme="1"/>
        <rFont val="Calibri"/>
        <family val="2"/>
        <charset val="204"/>
        <scheme val="minor"/>
      </rPr>
      <t xml:space="preserve"> периода - 21%. Дисконтирование выполнять на конец периодов модели, период прогнозирования - 3 года, результат округлить до миллионов рублей.</t>
    </r>
  </si>
  <si>
    <t>Осталось 4 платежа по кредиту</t>
  </si>
  <si>
    <r>
      <t xml:space="preserve">3.2.3.10. Рассчитать ставку дисконтирования, номинированную в </t>
    </r>
    <r>
      <rPr>
        <b/>
        <sz val="14"/>
        <color rgb="FFFF0000"/>
        <rFont val="Calibri"/>
        <family val="2"/>
        <charset val="204"/>
        <scheme val="minor"/>
      </rPr>
      <t>рублях</t>
    </r>
    <r>
      <rPr>
        <b/>
        <sz val="14"/>
        <color theme="1"/>
        <rFont val="Calibri"/>
        <family val="2"/>
        <charset val="204"/>
        <scheme val="minor"/>
      </rPr>
      <t xml:space="preserve">, в качестве безрисковой взять доходность облигаций. Безрисковая доходность </t>
    </r>
    <r>
      <rPr>
        <b/>
        <sz val="14"/>
        <color rgb="FFFF0000"/>
        <rFont val="Calibri"/>
        <family val="2"/>
        <charset val="204"/>
        <scheme val="minor"/>
      </rPr>
      <t>ОФЗ</t>
    </r>
    <r>
      <rPr>
        <b/>
        <sz val="14"/>
        <color theme="1"/>
        <rFont val="Calibri"/>
        <family val="2"/>
        <charset val="204"/>
        <scheme val="minor"/>
      </rPr>
      <t xml:space="preserve"> – 3,1%, валютная доходность - 3,5%, премия за риск-вложения и премия за инвестиционный менеджмент – по 2,5%. Срок экспозиции – 4 месяца.</t>
    </r>
  </si>
  <si>
    <r>
      <t xml:space="preserve">3.2.3.13. Оценивается земельный участок с учетом </t>
    </r>
    <r>
      <rPr>
        <b/>
        <sz val="14"/>
        <color rgb="FFFF0000"/>
        <rFont val="Calibri"/>
        <family val="2"/>
        <charset val="204"/>
        <scheme val="minor"/>
      </rPr>
      <t>обязательства</t>
    </r>
    <r>
      <rPr>
        <b/>
        <sz val="14"/>
        <color theme="1"/>
        <rFont val="Calibri"/>
        <family val="2"/>
        <charset val="204"/>
        <scheme val="minor"/>
      </rPr>
      <t xml:space="preserve"> продавца построить и передать покупателю готовое к эксплуатации складское здание общей площадью 5 тыс кв.м., затраты на девелопмент – 220 млн руб. цена здания с участком – 60 тыс руб/кв.м. общей площади здание оплачивается в момент передачи готового здания. Определить </t>
    </r>
    <r>
      <rPr>
        <b/>
        <sz val="14"/>
        <color rgb="FFFF0000"/>
        <rFont val="Calibri"/>
        <family val="2"/>
        <charset val="204"/>
        <scheme val="minor"/>
      </rPr>
      <t>вклад</t>
    </r>
    <r>
      <rPr>
        <b/>
        <sz val="14"/>
        <color theme="1"/>
        <rFont val="Calibri"/>
        <family val="2"/>
        <charset val="204"/>
        <scheme val="minor"/>
      </rPr>
      <t xml:space="preserve"> в рыночную стоимость участка данного </t>
    </r>
    <r>
      <rPr>
        <b/>
        <sz val="14"/>
        <color rgb="FFFF0000"/>
        <rFont val="Calibri"/>
        <family val="2"/>
        <charset val="204"/>
        <scheme val="minor"/>
      </rPr>
      <t>обязательства*</t>
    </r>
    <r>
      <rPr>
        <b/>
        <sz val="14"/>
        <color theme="1"/>
        <rFont val="Calibri"/>
        <family val="2"/>
        <charset val="204"/>
        <scheme val="minor"/>
      </rPr>
      <t>, если известно, что в случае если бы здание было построено и предполагалось для сдачи в аренду, то затраты на девелопмент составили бы 200 млн руб, на момент ввода в эксплуатацию рыночная ставка аренды для него составила бы 6 тыс руб за кв. м/ год общей площади (все операционные расходы компенсируются арендатором дополнительно собственник расходов не несет) и склад выйдет стабилизированную загрузку в размере 95%. Рыночная ставка капитализации составляет 11%. Период строительства в обоих случаях-1,5 года, затраты несутся равномерно. Ставка дисконтирования инвестиционного периода- 20% годовых. Длительность одного периода модели – полгода, количество-3. Дисконтирование выполнять на конец периодов модели, результат округлить до сотен тысяч руб.</t>
    </r>
  </si>
  <si>
    <t>*Понятней звучит фраза: Определить вклад данного обязательства в рыночную стоимость участка</t>
  </si>
  <si>
    <t>Фактор для одного периода</t>
  </si>
  <si>
    <r>
      <t xml:space="preserve">3.2.3.14. Методом предполагаемого использования рассчитать рыночную стоимость земельного участка, предназначенного под строительство торгового центра. Полные затраты на создание объекта – 10 млн руб., срок строительства 2 года, </t>
    </r>
    <r>
      <rPr>
        <b/>
        <sz val="14"/>
        <color rgb="FFFF0000"/>
        <rFont val="Calibri"/>
        <family val="2"/>
        <charset val="204"/>
        <scheme val="minor"/>
      </rPr>
      <t>в начале первого</t>
    </r>
    <r>
      <rPr>
        <b/>
        <sz val="14"/>
        <color theme="1"/>
        <rFont val="Calibri"/>
        <family val="2"/>
        <charset val="204"/>
        <scheme val="minor"/>
      </rPr>
      <t xml:space="preserve"> и </t>
    </r>
    <r>
      <rPr>
        <b/>
        <sz val="14"/>
        <color rgb="FFFF0000"/>
        <rFont val="Calibri"/>
        <family val="2"/>
        <charset val="204"/>
        <scheme val="minor"/>
      </rPr>
      <t>в конце второго года</t>
    </r>
    <r>
      <rPr>
        <b/>
        <sz val="14"/>
        <color theme="1"/>
        <rFont val="Calibri"/>
        <family val="2"/>
        <charset val="204"/>
        <scheme val="minor"/>
      </rPr>
      <t xml:space="preserve"> строительства предполагается понести по 50% от величины полных затрат. Прогнозируемая выручка от продажи объекта на момент завершения строительства за вычетом затрат на продажу – 25 млн руб., требуемая рыночная норма доходности для подобных инвестиций 20 %. Денежные потоки дисконтировать </t>
    </r>
    <r>
      <rPr>
        <b/>
        <sz val="14"/>
        <color rgb="FFFF0000"/>
        <rFont val="Calibri"/>
        <family val="2"/>
        <charset val="204"/>
        <scheme val="minor"/>
      </rPr>
      <t>на начало периода</t>
    </r>
    <r>
      <rPr>
        <b/>
        <sz val="14"/>
        <color theme="1"/>
        <rFont val="Calibri"/>
        <family val="2"/>
        <charset val="204"/>
        <scheme val="minor"/>
      </rPr>
      <t>. Результат округлить до тысяч.</t>
    </r>
  </si>
  <si>
    <t>Аналог 3.2.3.6</t>
  </si>
  <si>
    <r>
      <t xml:space="preserve">3.2.3.21. Бизнес-центр общей площадью 5 000 кв.м, арендопригодная 4 000 кв.м. </t>
    </r>
    <r>
      <rPr>
        <b/>
        <sz val="14"/>
        <color rgb="FFFF0000"/>
        <rFont val="Calibri"/>
        <family val="2"/>
        <charset val="204"/>
        <scheme val="minor"/>
      </rPr>
      <t>45%</t>
    </r>
    <r>
      <rPr>
        <b/>
        <sz val="14"/>
        <color theme="1"/>
        <rFont val="Calibri"/>
        <family val="2"/>
        <charset val="204"/>
        <scheme val="minor"/>
      </rPr>
      <t xml:space="preserve"> площадей сданы на 99 лет якорному арендатору, ставки 10, 11, 13, 15 тыс. руб. в 1, 2, 3 и 4 год соответственно, далее не меняются. Вторая часть сдана по рыночной ставке 25 000 руб за кв. м в год, загрузка 90% (рыночная), дополнительно </t>
    </r>
    <r>
      <rPr>
        <b/>
        <sz val="14"/>
        <color rgb="FFFF0000"/>
        <rFont val="Calibri"/>
        <family val="2"/>
        <charset val="204"/>
        <scheme val="minor"/>
      </rPr>
      <t>все</t>
    </r>
    <r>
      <rPr>
        <b/>
        <sz val="14"/>
        <color theme="1"/>
        <rFont val="Calibri"/>
        <family val="2"/>
        <charset val="204"/>
        <scheme val="minor"/>
      </rPr>
      <t xml:space="preserve"> арендаторы компенсируют операционные расходы из расчета 5 500 руб за кв.м </t>
    </r>
    <r>
      <rPr>
        <b/>
        <sz val="14"/>
        <color rgb="FFFF0000"/>
        <rFont val="Calibri"/>
        <family val="2"/>
        <charset val="204"/>
        <scheme val="minor"/>
      </rPr>
      <t>арендуемой</t>
    </r>
    <r>
      <rPr>
        <b/>
        <sz val="14"/>
        <color theme="1"/>
        <rFont val="Calibri"/>
        <family val="2"/>
        <charset val="204"/>
        <scheme val="minor"/>
      </rPr>
      <t xml:space="preserve"> площади . Операционные расходы собственника составляют 8 000 руб за 1 кв.м </t>
    </r>
    <r>
      <rPr>
        <b/>
        <sz val="14"/>
        <color rgb="FFFF0000"/>
        <rFont val="Calibri"/>
        <family val="2"/>
        <charset val="204"/>
        <scheme val="minor"/>
      </rPr>
      <t>общей</t>
    </r>
    <r>
      <rPr>
        <b/>
        <sz val="14"/>
        <color theme="1"/>
        <rFont val="Calibri"/>
        <family val="2"/>
        <charset val="204"/>
        <scheme val="minor"/>
      </rPr>
      <t xml:space="preserve"> площади. Ставка дисконтирования 16%. Коэффициент капитализации для реверсии 11%. Период прогнозирования 3 года. Дисконтирование на конец периода. Результат округлить.</t>
    </r>
  </si>
  <si>
    <t>Арендопригодная площадь ВСЯ, кв.м.</t>
  </si>
  <si>
    <r>
      <rPr>
        <sz val="14"/>
        <color rgb="FFFF0000"/>
        <rFont val="Calibri"/>
        <family val="2"/>
        <charset val="204"/>
        <scheme val="minor"/>
      </rPr>
      <t>Арендопригодная = Арендуемая</t>
    </r>
    <r>
      <rPr>
        <sz val="14"/>
        <color theme="1"/>
        <rFont val="Calibri"/>
        <family val="2"/>
        <charset val="204"/>
        <scheme val="minor"/>
      </rPr>
      <t xml:space="preserve"> площадь</t>
    </r>
  </si>
  <si>
    <r>
      <rPr>
        <sz val="14"/>
        <color rgb="FFFF0000"/>
        <rFont val="Calibri"/>
        <family val="2"/>
        <charset val="204"/>
        <scheme val="minor"/>
      </rPr>
      <t>Арендопригодная</t>
    </r>
    <r>
      <rPr>
        <sz val="14"/>
        <color theme="1"/>
        <rFont val="Calibri"/>
        <family val="2"/>
        <charset val="204"/>
        <scheme val="minor"/>
      </rPr>
      <t xml:space="preserve"> площадь</t>
    </r>
  </si>
  <si>
    <r>
      <rPr>
        <sz val="14"/>
        <color rgb="FFFF0000"/>
        <rFont val="Calibri"/>
        <family val="2"/>
        <charset val="204"/>
        <scheme val="minor"/>
      </rPr>
      <t>Арендуемая</t>
    </r>
    <r>
      <rPr>
        <sz val="14"/>
        <color theme="1"/>
        <rFont val="Calibri"/>
        <family val="2"/>
        <charset val="204"/>
        <scheme val="minor"/>
      </rPr>
      <t xml:space="preserve"> площадь, кв.м.</t>
    </r>
  </si>
  <si>
    <r>
      <t xml:space="preserve">Компенсация ОР, кв.м. </t>
    </r>
    <r>
      <rPr>
        <sz val="14"/>
        <color rgb="FFFF0000"/>
        <rFont val="Calibri"/>
        <family val="2"/>
        <charset val="204"/>
        <scheme val="minor"/>
      </rPr>
      <t>арендуемой</t>
    </r>
  </si>
  <si>
    <r>
      <t xml:space="preserve">3.2.3.22. (4 балла). Рассчитать рыночную стоимость земельного участка, НЭИ которого заключается в строительстве офисного здания общей площадью 5 000 кв.м, арендопригодная площадь 4 000 кв.м. Известно, что затраты на строительство составят 380 млн. руб. и будут понесены в течение 2 лет равными долями, после чего объект будет введен в эксплуатацию. Потенциальный арендный доход для собственника составляет 25 000 руб. за кв.м арендопригодной площади в год (все расходы по эксплуатации и содержанию здания оплачивают имеющиеся арендаторы независимо от общей загрузки), в первый год эксплуатации загрузка составит 85%, начиная со следующего, стабилизируется на 90%. </t>
    </r>
    <r>
      <rPr>
        <b/>
        <sz val="14"/>
        <color rgb="FFFF0000"/>
        <rFont val="Calibri"/>
        <family val="2"/>
        <charset val="204"/>
        <scheme val="minor"/>
      </rPr>
      <t>В конце прогнозного периода объект будет продан за 115 000 рублей за 1 кв.м общей площади</t>
    </r>
    <r>
      <rPr>
        <b/>
        <sz val="14"/>
        <color theme="1"/>
        <rFont val="Calibri"/>
        <family val="2"/>
        <charset val="204"/>
        <scheme val="minor"/>
      </rPr>
      <t>. Все ценовые показатели сохраняются неизменными. Затраты на продажу и брокерскую комиссию за сдачу площадей в аренду не учитывать. Ставка дисконтирования операционного периода 17%, инвестиционного периода - 22%. Дисконтирование выполнять на конец периодов модели, период прогнозирования - 3 года, результат округлить до миллионов рублей.</t>
    </r>
  </si>
  <si>
    <r>
      <t xml:space="preserve">3.2.3.23. (4 балла). Рассчитать рыночную стоимость земельного участка, НЭИ которого заключается в строительстве офисного здания общей площадью 5 000 кв.м, арендопригодная площадь 4 000 кв.м. Известно, что затраты на строительство составят 380 млн. руб. и будут понесены в течение 2 лет равными долями, после чего объект будет введен в эксплуатацию. Потенциальный арендный доход для собственника составляет 25 000 руб. за кв.м арендопригодной площади в год (все расходы по эксплуатации и содержанию здания оплачивают имеющиеся арендаторы независимо от общей загрузки), в первый год эксплуатации </t>
    </r>
    <r>
      <rPr>
        <b/>
        <sz val="14"/>
        <color rgb="FFFF0000"/>
        <rFont val="Calibri"/>
        <family val="2"/>
        <charset val="204"/>
        <scheme val="minor"/>
      </rPr>
      <t>недо</t>
    </r>
    <r>
      <rPr>
        <b/>
        <sz val="14"/>
        <color theme="1"/>
        <rFont val="Calibri"/>
        <family val="2"/>
        <charset val="204"/>
        <scheme val="minor"/>
      </rPr>
      <t xml:space="preserve">загрузка составит 30%, начиная со следующего, стабилизируется на 10%. </t>
    </r>
    <r>
      <rPr>
        <b/>
        <sz val="14"/>
        <color rgb="FFFF0000"/>
        <rFont val="Calibri"/>
        <family val="2"/>
        <charset val="204"/>
        <scheme val="minor"/>
      </rPr>
      <t>В конце прогнозного периода объект будет продан за 115 000 рублей за 1 кв.м общей площади</t>
    </r>
    <r>
      <rPr>
        <b/>
        <sz val="14"/>
        <color theme="1"/>
        <rFont val="Calibri"/>
        <family val="2"/>
        <charset val="204"/>
        <scheme val="minor"/>
      </rPr>
      <t>. Все ценовые показатели сохраняются неизменными. Затраты на продажу и брокерскую комиссию за сдачу площадей в аренду не учитывать. Ставка дисконтирования операционного периода 17%, инвестиционного периода - 22%. Дисконтирование выполнять на конец периодов модели, период прогнозирования - 3 года, результат округлить до миллионов рублей.</t>
    </r>
  </si>
  <si>
    <r>
      <t xml:space="preserve">3.2.3.26. Рассчитать рыночную стоимость земельного участка, НЭИ которого заключается в строительстве офисного здания общей площадью 5 000 кв.м, арендопригодная площадь 4 000 кв.м. Известно, что затраты на строительство составят 380 млн руб. и будут понесены в течение 2 лет равными долями, после чего объект будет введен в эксплуатацию. Потенциальный арендный доход для собственника составляет 25 000 руб. за кв.м </t>
    </r>
    <r>
      <rPr>
        <b/>
        <sz val="14"/>
        <rFont val="Calibri"/>
        <family val="2"/>
        <charset val="204"/>
        <scheme val="minor"/>
      </rPr>
      <t>арендопригодной</t>
    </r>
    <r>
      <rPr>
        <b/>
        <sz val="14"/>
        <color theme="1"/>
        <rFont val="Calibri"/>
        <family val="2"/>
        <charset val="204"/>
        <scheme val="minor"/>
      </rPr>
      <t xml:space="preserve"> площади в год (все расходы по эксплуатации и содержанию здания оплачивают имеющиеся арендаторы независимо от общей загрузки), в первый год эксплуатации </t>
    </r>
    <r>
      <rPr>
        <b/>
        <sz val="14"/>
        <color rgb="FFFF0000"/>
        <rFont val="Calibri"/>
        <family val="2"/>
        <charset val="204"/>
        <scheme val="minor"/>
      </rPr>
      <t>загрузка</t>
    </r>
    <r>
      <rPr>
        <b/>
        <sz val="14"/>
        <color theme="1"/>
        <rFont val="Calibri"/>
        <family val="2"/>
        <charset val="204"/>
        <scheme val="minor"/>
      </rPr>
      <t xml:space="preserve"> составит 85%. В конце первого года эксплуатации </t>
    </r>
    <r>
      <rPr>
        <b/>
        <sz val="14"/>
        <color rgb="FFFF0000"/>
        <rFont val="Calibri"/>
        <family val="2"/>
        <charset val="204"/>
        <scheme val="minor"/>
      </rPr>
      <t>объект будет продан за 115 000 рублей за 1 кв.м общей площади</t>
    </r>
    <r>
      <rPr>
        <b/>
        <sz val="14"/>
        <color theme="1"/>
        <rFont val="Calibri"/>
        <family val="2"/>
        <charset val="204"/>
        <scheme val="minor"/>
      </rPr>
      <t>. Все ценовые показатели сохраняются неизменными. Затраты на продажу и брокерскую комиссию за сдачу площадей в аренду не учитывать. Ставка дисконтирования операционного периода 17%, инвестиционного периода - 22%. Дисконтирование выполнять на конец периодов модели, результат округлить до миллионов рублей.</t>
    </r>
  </si>
  <si>
    <r>
      <t xml:space="preserve">3.2.3.30. Рассчитать рыночную стоимость земельного участка, НЭИ которого заключается в строительстве офисного здания общая площадь которого 5000 кв.м, аренднопригодная 4000 кв.м. Предполагается, что затраты на строительство в размере 100 млн рублей будут понесены </t>
    </r>
    <r>
      <rPr>
        <b/>
        <sz val="14"/>
        <rFont val="Calibri"/>
        <family val="2"/>
        <charset val="204"/>
        <scheme val="minor"/>
      </rPr>
      <t>в течение первых двух лет</t>
    </r>
    <r>
      <rPr>
        <b/>
        <sz val="14"/>
        <color theme="1"/>
        <rFont val="Calibri"/>
        <family val="2"/>
        <charset val="204"/>
        <scheme val="minor"/>
      </rPr>
      <t xml:space="preserve">, причём </t>
    </r>
    <r>
      <rPr>
        <b/>
        <sz val="14"/>
        <color rgb="FFFF0000"/>
        <rFont val="Calibri"/>
        <family val="2"/>
        <charset val="204"/>
        <scheme val="minor"/>
      </rPr>
      <t>в первый год в начале периода, во второй год в конце периода</t>
    </r>
    <r>
      <rPr>
        <b/>
        <sz val="14"/>
        <color theme="1"/>
        <rFont val="Calibri"/>
        <family val="2"/>
        <charset val="204"/>
        <scheme val="minor"/>
      </rPr>
      <t xml:space="preserve">. После этого объект будет сдан в аренду за 25 000 за кв.м (все расходы по эксплуатации и содержанию здания оплачивают арендаторы независимо от общей загрузки). В первый год эксплуатации загрузка составит 70%, а начиная со следующего стабилизируется на уровне 85%. Ставка терминальный капитализации составляет 10%, затраты на продажу и комиссию за брокерское обслуживание за сдачу площадей в аренду не учитывать. Ставка дисконтирования операционного периода составляет 16%, инвестиционного 20%. Дисконтирование выполнять </t>
    </r>
    <r>
      <rPr>
        <b/>
        <sz val="14"/>
        <color rgb="FFFF0000"/>
        <rFont val="Calibri"/>
        <family val="2"/>
        <charset val="204"/>
        <scheme val="minor"/>
      </rPr>
      <t>на начало периода</t>
    </r>
    <r>
      <rPr>
        <b/>
        <sz val="14"/>
        <color theme="1"/>
        <rFont val="Calibri"/>
        <family val="2"/>
        <charset val="204"/>
        <scheme val="minor"/>
      </rPr>
      <t>, период прогнозирования 3 года, результат округлить до миллионов рублей.</t>
    </r>
  </si>
  <si>
    <r>
      <t xml:space="preserve">ДВД </t>
    </r>
    <r>
      <rPr>
        <b/>
        <sz val="14"/>
        <color rgb="FFFF0000"/>
        <rFont val="Calibri"/>
        <family val="2"/>
        <charset val="204"/>
        <scheme val="minor"/>
      </rPr>
      <t>в месяц</t>
    </r>
  </si>
  <si>
    <r>
      <t xml:space="preserve">ОР за кв.м. </t>
    </r>
    <r>
      <rPr>
        <b/>
        <sz val="14"/>
        <color rgb="FFFF0000"/>
        <rFont val="Calibri"/>
        <family val="2"/>
        <charset val="204"/>
        <scheme val="minor"/>
      </rPr>
      <t>в год</t>
    </r>
  </si>
  <si>
    <r>
      <rPr>
        <b/>
        <sz val="22"/>
        <color rgb="FFFF0000"/>
        <rFont val="Calibri"/>
        <family val="2"/>
        <charset val="204"/>
        <scheme val="minor"/>
      </rPr>
      <t>РЕШАЕМ</t>
    </r>
    <r>
      <rPr>
        <b/>
        <sz val="22"/>
        <color theme="1"/>
        <rFont val="Calibri"/>
        <family val="2"/>
        <charset val="204"/>
        <scheme val="minor"/>
      </rPr>
      <t xml:space="preserve"> задачу (знакомый ответ - не ответ). Если ответ не сошёлся ни с одним из предложенных:</t>
    </r>
  </si>
  <si>
    <r>
      <rPr>
        <sz val="22"/>
        <color theme="1"/>
        <rFont val="Symbol"/>
        <family val="1"/>
        <charset val="2"/>
      </rPr>
      <t>®</t>
    </r>
    <r>
      <rPr>
        <i/>
        <sz val="22"/>
        <color theme="1"/>
        <rFont val="Calibri"/>
        <family val="2"/>
        <charset val="204"/>
      </rPr>
      <t xml:space="preserve"> </t>
    </r>
    <r>
      <rPr>
        <i/>
        <sz val="22"/>
        <color theme="1"/>
        <rFont val="Calibri"/>
        <family val="2"/>
        <charset val="204"/>
        <scheme val="minor"/>
      </rPr>
      <t>внимательно читаем условие;</t>
    </r>
  </si>
  <si>
    <r>
      <rPr>
        <sz val="22"/>
        <color theme="1"/>
        <rFont val="Symbol"/>
        <family val="1"/>
        <charset val="2"/>
      </rPr>
      <t>®</t>
    </r>
    <r>
      <rPr>
        <i/>
        <sz val="22"/>
        <color theme="1"/>
        <rFont val="Calibri"/>
        <family val="2"/>
        <charset val="204"/>
      </rPr>
      <t xml:space="preserve"> </t>
    </r>
    <r>
      <rPr>
        <i/>
        <sz val="22"/>
        <color theme="1"/>
        <rFont val="Calibri"/>
        <family val="2"/>
        <charset val="204"/>
        <scheme val="minor"/>
      </rPr>
      <t>проверяем расчёты (формулы в ячейках);</t>
    </r>
  </si>
  <si>
    <r>
      <rPr>
        <sz val="22"/>
        <color theme="1"/>
        <rFont val="Symbol"/>
        <family val="1"/>
        <charset val="2"/>
      </rPr>
      <t>®</t>
    </r>
    <r>
      <rPr>
        <i/>
        <sz val="22"/>
        <color theme="1"/>
        <rFont val="Calibri"/>
        <family val="2"/>
        <charset val="204"/>
      </rPr>
      <t xml:space="preserve"> </t>
    </r>
    <r>
      <rPr>
        <i/>
        <sz val="22"/>
        <color theme="1"/>
        <rFont val="Calibri"/>
        <family val="2"/>
        <charset val="204"/>
        <scheme val="minor"/>
      </rPr>
      <t>если ошибку не нашли - идём дальше!</t>
    </r>
  </si>
  <si>
    <r>
      <rPr>
        <sz val="22"/>
        <color theme="1"/>
        <rFont val="Symbol"/>
        <family val="1"/>
        <charset val="2"/>
      </rPr>
      <t>®</t>
    </r>
    <r>
      <rPr>
        <i/>
        <sz val="22"/>
        <color theme="1"/>
        <rFont val="Calibri"/>
        <family val="2"/>
        <charset val="204"/>
      </rPr>
      <t xml:space="preserve"> </t>
    </r>
    <r>
      <rPr>
        <i/>
        <sz val="22"/>
        <color theme="1"/>
        <rFont val="Calibri"/>
        <family val="2"/>
        <charset val="204"/>
        <scheme val="minor"/>
      </rPr>
      <t>возвращаемся к задаче после ответа на последний вопрос/задачу.</t>
    </r>
  </si>
  <si>
    <r>
      <rPr>
        <sz val="22"/>
        <color theme="1"/>
        <rFont val="Symbol"/>
        <family val="1"/>
        <charset val="2"/>
      </rPr>
      <t>®</t>
    </r>
    <r>
      <rPr>
        <i/>
        <sz val="22"/>
        <color theme="1"/>
        <rFont val="Calibri"/>
        <family val="2"/>
        <charset val="204"/>
      </rPr>
      <t xml:space="preserve"> </t>
    </r>
    <r>
      <rPr>
        <i/>
        <sz val="22"/>
        <color theme="1"/>
        <rFont val="Calibri"/>
        <family val="2"/>
        <charset val="204"/>
        <scheme val="minor"/>
      </rPr>
      <t>ответить на все вопросы теории kvalexam.ru;</t>
    </r>
  </si>
  <si>
    <r>
      <rPr>
        <sz val="22"/>
        <color theme="1"/>
        <rFont val="Symbol"/>
        <family val="1"/>
        <charset val="2"/>
      </rPr>
      <t>®</t>
    </r>
    <r>
      <rPr>
        <i/>
        <sz val="22"/>
        <color theme="1"/>
        <rFont val="Calibri"/>
        <family val="2"/>
        <charset val="204"/>
      </rPr>
      <t xml:space="preserve"> </t>
    </r>
    <r>
      <rPr>
        <i/>
        <sz val="22"/>
        <color theme="1"/>
        <rFont val="Calibri"/>
        <family val="2"/>
        <charset val="204"/>
        <scheme val="minor"/>
      </rPr>
      <t>решить подряд все задачи из kvalexam.ru (именно решить, а не просмотреть и вспомнить - тренировка Excel);</t>
    </r>
  </si>
  <si>
    <r>
      <rPr>
        <sz val="22"/>
        <color theme="1"/>
        <rFont val="Symbol"/>
        <family val="1"/>
        <charset val="2"/>
      </rPr>
      <t>®</t>
    </r>
    <r>
      <rPr>
        <i/>
        <sz val="22"/>
        <color theme="1"/>
        <rFont val="Calibri"/>
        <family val="2"/>
        <charset val="204"/>
      </rPr>
      <t xml:space="preserve"> </t>
    </r>
    <r>
      <rPr>
        <i/>
        <sz val="22"/>
        <color theme="1"/>
        <rFont val="Calibri"/>
        <family val="2"/>
        <charset val="204"/>
        <scheme val="minor"/>
      </rPr>
      <t>пройти пару раз полноценный тест (эмуляция экзамена) на test.kvalexam.ru;</t>
    </r>
  </si>
  <si>
    <r>
      <rPr>
        <sz val="22"/>
        <color theme="1"/>
        <rFont val="Symbol"/>
        <family val="1"/>
        <charset val="2"/>
      </rPr>
      <t>®</t>
    </r>
    <r>
      <rPr>
        <i/>
        <sz val="22"/>
        <color theme="1"/>
        <rFont val="Calibri"/>
        <family val="2"/>
        <charset val="204"/>
      </rPr>
      <t xml:space="preserve"> </t>
    </r>
    <r>
      <rPr>
        <i/>
        <sz val="22"/>
        <color theme="1"/>
        <rFont val="Calibri"/>
        <family val="2"/>
        <charset val="204"/>
        <scheme val="minor"/>
      </rPr>
      <t>средний итоговый результат примерно равен сумме баллов на экзамене</t>
    </r>
  </si>
  <si>
    <t>Числовой формат (единичку нажимать на в верхнем ряду клавиш, а не на цифровом блоке справа)</t>
  </si>
  <si>
    <r>
      <t xml:space="preserve">3.2.1.6. (4 балла). На земельном участке юридически и физически можно построить:
Вариант 1. офисное здание с общей площадью 6000 кв.м, арендопригодной площадью - 5000 кв.м, рыночная ставка аренды - 10000 руб./кв.м в год, стабилизированная загрузка 90%, совокупные операционные расходы, оплачиваемые собственником и капитальный резерв - 1500 руб./кв.м арендопригодной площади, рыночная ставка капитализации -12%, совокупные затраты на девелопмент и продажу здания - 30 тыс. руб./кв.м общей площади.
Вариант 2. жилой дом с общей площадью 6000 кв.м, продаваемой площадью 4500 кв.м, средняя цена продажи - 90 тыс. руб./кв.м продаваемой площади.
Определите все значения совокупных затрат на девелопмент жилого здания и продажу площадей в расчете на кв.м общей площади, для которых девелопмент </t>
    </r>
    <r>
      <rPr>
        <b/>
        <sz val="14"/>
        <color rgb="FFFF0000"/>
        <rFont val="Calibri"/>
        <family val="2"/>
        <charset val="204"/>
        <scheme val="minor"/>
      </rPr>
      <t>жилого</t>
    </r>
    <r>
      <rPr>
        <b/>
        <sz val="14"/>
        <color theme="1"/>
        <rFont val="Calibri"/>
        <family val="2"/>
        <charset val="204"/>
        <scheme val="minor"/>
      </rPr>
      <t xml:space="preserve"> здания будет являться </t>
    </r>
    <r>
      <rPr>
        <b/>
        <sz val="14"/>
        <color rgb="FF7030A0"/>
        <rFont val="Calibri"/>
        <family val="2"/>
        <charset val="204"/>
        <scheme val="minor"/>
      </rPr>
      <t>НЭИ рассматриваемого земельного участка</t>
    </r>
    <r>
      <rPr>
        <b/>
        <sz val="14"/>
        <color theme="1"/>
        <rFont val="Calibri"/>
        <family val="2"/>
        <charset val="204"/>
        <scheme val="minor"/>
      </rPr>
      <t>, если рыночная прибыль предпринимателя при девелопменте офисного здания составляет 20% от цены продажи здания, при девелопменте жилого здания - 25% от выручки от продажи. Предположить, что на момент продажи офисное здание имеет стабилизированную загрузку на рыночных условиях, а фактор разновременности денежных потоков учтен в прибыли предпринимателя Результат округлить до сотен рублей.</t>
    </r>
  </si>
  <si>
    <r>
      <t xml:space="preserve">Наиболее эффективное использование представляет собой физически возможное, юридически допустимое и финансово обоснованное использование объекта, </t>
    </r>
    <r>
      <rPr>
        <i/>
        <sz val="14"/>
        <color rgb="FFFF0000"/>
        <rFont val="Calibri"/>
        <family val="2"/>
        <charset val="204"/>
        <scheme val="minor"/>
      </rPr>
      <t>при котором стоимость объекта будет наибольшей</t>
    </r>
  </si>
  <si>
    <r>
      <t xml:space="preserve">&gt; Девелопмент (в расчете на 1 кв.м. </t>
    </r>
    <r>
      <rPr>
        <sz val="14"/>
        <color rgb="FFFF0000"/>
        <rFont val="Calibri"/>
        <family val="2"/>
        <charset val="204"/>
        <scheme val="minor"/>
      </rPr>
      <t>общей</t>
    </r>
    <r>
      <rPr>
        <sz val="14"/>
        <color theme="1"/>
        <rFont val="Calibri"/>
        <family val="2"/>
        <charset val="204"/>
        <scheme val="minor"/>
      </rPr>
      <t xml:space="preserve"> площади жилого дома)</t>
    </r>
  </si>
  <si>
    <t>Примечание: Кнопка "000" в ленте - несколько другой формат</t>
  </si>
  <si>
    <r>
      <t xml:space="preserve">3.2.1.4. Затраты на создание конструкции зарегистрированного объекта недвижимости - металлического резервуара объемом 100 м3 составляет 100 000 руб., объемом 175 м3 - 140 000 руб. Коэффициент, учитывающий стоимость доставки и монтажа резервуара, составляет 1.7. Затраты на </t>
    </r>
    <r>
      <rPr>
        <b/>
        <sz val="14"/>
        <color rgb="FFFF0000"/>
        <rFont val="Calibri"/>
        <family val="2"/>
        <charset val="204"/>
        <scheme val="minor"/>
      </rPr>
      <t>ускоренную</t>
    </r>
    <r>
      <rPr>
        <b/>
        <sz val="14"/>
        <color theme="1"/>
        <rFont val="Calibri"/>
        <family val="2"/>
        <charset val="204"/>
        <scheme val="minor"/>
      </rPr>
      <t xml:space="preserve"> доставку металлоконструкций - 15 000 руб. Надбавка за </t>
    </r>
    <r>
      <rPr>
        <b/>
        <sz val="14"/>
        <color rgb="FFFF0000"/>
        <rFont val="Calibri"/>
        <family val="2"/>
        <charset val="204"/>
        <scheme val="minor"/>
      </rPr>
      <t xml:space="preserve">срочное </t>
    </r>
    <r>
      <rPr>
        <b/>
        <sz val="14"/>
        <color theme="1"/>
        <rFont val="Calibri"/>
        <family val="2"/>
        <charset val="204"/>
        <scheme val="minor"/>
      </rPr>
      <t xml:space="preserve">оформление документации - 10% от стоимости металлоконструкций. Необходимо рассчитать рыночную стоимость смонтированного резервуара объемом 150 куб. м с использованием коэффициента торможения. Данные для расчета износа: </t>
    </r>
    <r>
      <rPr>
        <b/>
        <sz val="14"/>
        <color rgb="FFFF0000"/>
        <rFont val="Calibri"/>
        <family val="2"/>
        <charset val="204"/>
        <scheme val="minor"/>
      </rPr>
      <t>хронологический</t>
    </r>
    <r>
      <rPr>
        <b/>
        <sz val="14"/>
        <color theme="1"/>
        <rFont val="Calibri"/>
        <family val="2"/>
        <charset val="204"/>
        <scheme val="minor"/>
      </rPr>
      <t xml:space="preserve"> возраст 10 лет, </t>
    </r>
    <r>
      <rPr>
        <b/>
        <sz val="14"/>
        <color rgb="FF0070C0"/>
        <rFont val="Calibri"/>
        <family val="2"/>
        <charset val="204"/>
        <scheme val="minor"/>
      </rPr>
      <t>полный срок</t>
    </r>
    <r>
      <rPr>
        <b/>
        <sz val="14"/>
        <color theme="1"/>
        <rFont val="Calibri"/>
        <family val="2"/>
        <charset val="204"/>
        <scheme val="minor"/>
      </rPr>
      <t xml:space="preserve"> жизни 28 лет, </t>
    </r>
    <r>
      <rPr>
        <b/>
        <sz val="14"/>
        <color rgb="FF0070C0"/>
        <rFont val="Calibri"/>
        <family val="2"/>
        <charset val="204"/>
        <scheme val="minor"/>
      </rPr>
      <t>остаточный срок экономической службы</t>
    </r>
    <r>
      <rPr>
        <b/>
        <sz val="14"/>
        <color theme="1"/>
        <rFont val="Calibri"/>
        <family val="2"/>
        <charset val="204"/>
        <scheme val="minor"/>
      </rPr>
      <t xml:space="preserve"> 15 лет.</t>
    </r>
  </si>
  <si>
    <r>
      <t xml:space="preserve">3.2.3.3. (4 балла). Определить рыночную стоимость офисного здания, если известно что его общая площадь составляет 5 тыс кв.м, арендопригодная площадь 4 тыс кв. м. Предполагается, что </t>
    </r>
    <r>
      <rPr>
        <b/>
        <sz val="14"/>
        <color rgb="FFFF0000"/>
        <rFont val="Calibri"/>
        <family val="2"/>
        <charset val="204"/>
        <scheme val="minor"/>
      </rPr>
      <t>первый</t>
    </r>
    <r>
      <rPr>
        <b/>
        <sz val="14"/>
        <color theme="1"/>
        <rFont val="Calibri"/>
        <family val="2"/>
        <charset val="204"/>
        <scheme val="minor"/>
      </rPr>
      <t xml:space="preserve"> и </t>
    </r>
    <r>
      <rPr>
        <b/>
        <sz val="14"/>
        <color rgb="FFFF0000"/>
        <rFont val="Calibri"/>
        <family val="2"/>
        <charset val="204"/>
        <scheme val="minor"/>
      </rPr>
      <t>второй</t>
    </r>
    <r>
      <rPr>
        <b/>
        <sz val="14"/>
        <color theme="1"/>
        <rFont val="Calibri"/>
        <family val="2"/>
        <charset val="204"/>
        <scheme val="minor"/>
      </rPr>
      <t xml:space="preserve"> годы прогнозного периода, здание сдается в краткосрочную аренду на рыночных условиях, рыночная ставка аренды – 25 тыс руб/кв. м/год, при этом</t>
    </r>
    <r>
      <rPr>
        <b/>
        <sz val="14"/>
        <color rgb="FFFF0000"/>
        <rFont val="Calibri"/>
        <family val="2"/>
        <charset val="204"/>
        <scheme val="minor"/>
      </rPr>
      <t xml:space="preserve"> загрузка</t>
    </r>
    <r>
      <rPr>
        <b/>
        <sz val="14"/>
        <color theme="1"/>
        <rFont val="Calibri"/>
        <family val="2"/>
        <charset val="204"/>
        <scheme val="minor"/>
      </rPr>
      <t xml:space="preserve"> площадей составляет 70% в первый и 50% во второй годы. </t>
    </r>
    <r>
      <rPr>
        <b/>
        <sz val="14"/>
        <color rgb="FFFF0000"/>
        <rFont val="Calibri"/>
        <family val="2"/>
        <charset val="204"/>
        <scheme val="minor"/>
      </rPr>
      <t>Начиная с третьего</t>
    </r>
    <r>
      <rPr>
        <b/>
        <sz val="14"/>
        <color theme="1"/>
        <rFont val="Calibri"/>
        <family val="2"/>
        <charset val="204"/>
        <scheme val="minor"/>
      </rPr>
      <t xml:space="preserve"> года, все здание будет сдано одному арендатору в аренду на 49 лет. В </t>
    </r>
    <r>
      <rPr>
        <b/>
        <sz val="14"/>
        <color rgb="FFFF0000"/>
        <rFont val="Calibri"/>
        <family val="2"/>
        <charset val="204"/>
        <scheme val="minor"/>
      </rPr>
      <t>первый</t>
    </r>
    <r>
      <rPr>
        <b/>
        <sz val="14"/>
        <color theme="1"/>
        <rFont val="Calibri"/>
        <family val="2"/>
        <charset val="204"/>
        <scheme val="minor"/>
      </rPr>
      <t xml:space="preserve"> год ставка аренды составит 10 тыс руб/кв.м </t>
    </r>
    <r>
      <rPr>
        <b/>
        <sz val="14"/>
        <rFont val="Calibri"/>
        <family val="2"/>
        <charset val="204"/>
        <scheme val="minor"/>
      </rPr>
      <t xml:space="preserve">арендопригодной </t>
    </r>
    <r>
      <rPr>
        <b/>
        <sz val="14"/>
        <color theme="1"/>
        <rFont val="Calibri"/>
        <family val="2"/>
        <charset val="204"/>
        <scheme val="minor"/>
      </rPr>
      <t xml:space="preserve">площади/год, а начиная </t>
    </r>
    <r>
      <rPr>
        <b/>
        <sz val="14"/>
        <color rgb="FFFF0000"/>
        <rFont val="Calibri"/>
        <family val="2"/>
        <charset val="204"/>
        <scheme val="minor"/>
      </rPr>
      <t>со второго и далее</t>
    </r>
    <r>
      <rPr>
        <b/>
        <sz val="14"/>
        <color theme="1"/>
        <rFont val="Calibri"/>
        <family val="2"/>
        <charset val="204"/>
        <scheme val="minor"/>
      </rPr>
      <t xml:space="preserve"> на весь срок аренды – 30 тыс руб/кв.м арендопригодной площади / год. Можно считать, что в течение всего срока аренды поступления платежей по договору полностью гарантировано. </t>
    </r>
    <r>
      <rPr>
        <b/>
        <sz val="14"/>
        <color rgb="FFFF0000"/>
        <rFont val="Calibri"/>
        <family val="2"/>
        <charset val="204"/>
        <scheme val="minor"/>
      </rPr>
      <t>Дополнительно</t>
    </r>
    <r>
      <rPr>
        <b/>
        <sz val="14"/>
        <color theme="1"/>
        <rFont val="Calibri"/>
        <family val="2"/>
        <charset val="204"/>
        <scheme val="minor"/>
      </rPr>
      <t xml:space="preserve"> к арендной плате все арендаторы оплачивают операционные расходы в размере 2 тыс.руб/год/кв.м </t>
    </r>
    <r>
      <rPr>
        <b/>
        <sz val="14"/>
        <color rgb="FF7030A0"/>
        <rFont val="Calibri"/>
        <family val="2"/>
        <charset val="204"/>
        <scheme val="minor"/>
      </rPr>
      <t>арендуемой</t>
    </r>
    <r>
      <rPr>
        <b/>
        <sz val="14"/>
        <color theme="1"/>
        <rFont val="Calibri"/>
        <family val="2"/>
        <charset val="204"/>
        <scheme val="minor"/>
      </rPr>
      <t xml:space="preserve"> площади, что соответствует рыночной практике. Фактические операционные расходы по зданию составляют 8 тыс руб/год/кв.м </t>
    </r>
    <r>
      <rPr>
        <b/>
        <sz val="14"/>
        <color rgb="FFFF0000"/>
        <rFont val="Calibri"/>
        <family val="2"/>
        <charset val="204"/>
        <scheme val="minor"/>
      </rPr>
      <t>общей</t>
    </r>
    <r>
      <rPr>
        <b/>
        <sz val="14"/>
        <color theme="1"/>
        <rFont val="Calibri"/>
        <family val="2"/>
        <charset val="204"/>
        <scheme val="minor"/>
      </rPr>
      <t xml:space="preserve"> площади все ставки аренды, возмещаемые и фактические расходы предполагаются постоянными, ставка терминальной капитализации – 12%, затраты на продажу не учитывать, требуемая рыночная норма доходности для подобных инвестиций -14%. Период прогноза предположить равным </t>
    </r>
    <r>
      <rPr>
        <b/>
        <sz val="14"/>
        <color rgb="FFFF0000"/>
        <rFont val="Calibri"/>
        <family val="2"/>
        <charset val="204"/>
        <scheme val="minor"/>
      </rPr>
      <t>трем годам</t>
    </r>
    <r>
      <rPr>
        <b/>
        <sz val="14"/>
        <color theme="1"/>
        <rFont val="Calibri"/>
        <family val="2"/>
        <charset val="204"/>
        <scheme val="minor"/>
      </rPr>
      <t>. Дисконтирование выполнять на конец периодов модели, результат округлить до миллионов.</t>
    </r>
  </si>
  <si>
    <t>ДВД = ЧОД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</si>
</sst>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000"/>
    <numFmt numFmtId="166" formatCode="#,##0.000"/>
    <numFmt numFmtId="167" formatCode="0.0000%"/>
    <numFmt numFmtId="168" formatCode="#,##0.00000"/>
  </numFmts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rgb="FF00B050"/>
      <name val="Calibri"/>
      <family val="2"/>
      <charset val="204"/>
      <scheme val="minor"/>
    </font>
    <font>
      <sz val="14"/>
      <color rgb="FF0070C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14"/>
      <color rgb="FF7030A0"/>
      <name val="Calibri"/>
      <family val="2"/>
      <charset val="204"/>
      <scheme val="minor"/>
    </font>
    <font>
      <b/>
      <i/>
      <u/>
      <sz val="14"/>
      <color rgb="FF7030A0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i/>
      <sz val="14"/>
      <color rgb="FFFF0000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i/>
      <sz val="22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rgb="FF0070C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sz val="22"/>
      <color theme="1"/>
      <name val="Symbol"/>
      <family val="1"/>
      <charset val="2"/>
    </font>
    <font>
      <i/>
      <sz val="22"/>
      <color theme="1"/>
      <name val="Calibri"/>
      <family val="2"/>
      <charset val="204"/>
    </font>
    <font>
      <i/>
      <sz val="22"/>
      <color theme="1"/>
      <name val="Calibri"/>
      <family val="1"/>
      <charset val="2"/>
      <scheme val="minor"/>
    </font>
    <font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4" fontId="2" fillId="0" borderId="0" xfId="0" applyNumberFormat="1" applyFont="1"/>
    <xf numFmtId="4" fontId="2" fillId="0" borderId="1" xfId="0" applyNumberFormat="1" applyFont="1" applyBorder="1"/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9" fontId="2" fillId="0" borderId="1" xfId="1" applyFont="1" applyBorder="1"/>
    <xf numFmtId="4" fontId="3" fillId="0" borderId="1" xfId="0" applyNumberFormat="1" applyFont="1" applyBorder="1"/>
    <xf numFmtId="4" fontId="4" fillId="0" borderId="1" xfId="0" applyNumberFormat="1" applyFont="1" applyBorder="1"/>
    <xf numFmtId="4" fontId="5" fillId="0" borderId="1" xfId="0" applyNumberFormat="1" applyFont="1" applyBorder="1"/>
    <xf numFmtId="4" fontId="2" fillId="2" borderId="1" xfId="0" applyNumberFormat="1" applyFont="1" applyFill="1" applyBorder="1"/>
    <xf numFmtId="9" fontId="2" fillId="0" borderId="0" xfId="1" applyFont="1"/>
    <xf numFmtId="4" fontId="9" fillId="0" borderId="0" xfId="0" applyNumberFormat="1" applyFont="1"/>
    <xf numFmtId="3" fontId="2" fillId="0" borderId="1" xfId="0" applyNumberFormat="1" applyFont="1" applyBorder="1"/>
    <xf numFmtId="10" fontId="2" fillId="0" borderId="1" xfId="1" applyNumberFormat="1" applyFont="1" applyBorder="1"/>
    <xf numFmtId="4" fontId="9" fillId="0" borderId="1" xfId="0" applyNumberFormat="1" applyFont="1" applyBorder="1"/>
    <xf numFmtId="4" fontId="8" fillId="0" borderId="1" xfId="0" applyNumberFormat="1" applyFont="1" applyBorder="1"/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/>
    <xf numFmtId="4" fontId="2" fillId="0" borderId="1" xfId="0" applyNumberFormat="1" applyFont="1" applyBorder="1" applyAlignment="1">
      <alignment horizontal="center"/>
    </xf>
    <xf numFmtId="3" fontId="2" fillId="0" borderId="0" xfId="0" applyNumberFormat="1" applyFont="1"/>
    <xf numFmtId="4" fontId="2" fillId="0" borderId="0" xfId="0" applyNumberFormat="1" applyFont="1" applyAlignment="1">
      <alignment horizontal="center"/>
    </xf>
    <xf numFmtId="4" fontId="8" fillId="0" borderId="0" xfId="0" applyNumberFormat="1" applyFont="1"/>
    <xf numFmtId="4" fontId="2" fillId="0" borderId="7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/>
    </xf>
    <xf numFmtId="4" fontId="8" fillId="0" borderId="8" xfId="0" applyNumberFormat="1" applyFont="1" applyBorder="1" applyAlignment="1">
      <alignment horizontal="center"/>
    </xf>
    <xf numFmtId="4" fontId="8" fillId="0" borderId="9" xfId="0" applyNumberFormat="1" applyFont="1" applyBorder="1" applyAlignment="1">
      <alignment horizontal="center"/>
    </xf>
    <xf numFmtId="4" fontId="8" fillId="0" borderId="10" xfId="0" applyNumberFormat="1" applyFont="1" applyBorder="1" applyAlignment="1">
      <alignment horizontal="center"/>
    </xf>
    <xf numFmtId="4" fontId="2" fillId="0" borderId="11" xfId="0" applyNumberFormat="1" applyFont="1" applyBorder="1"/>
    <xf numFmtId="4" fontId="2" fillId="0" borderId="12" xfId="0" applyNumberFormat="1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4" fontId="2" fillId="0" borderId="14" xfId="0" applyNumberFormat="1" applyFont="1" applyBorder="1"/>
    <xf numFmtId="3" fontId="2" fillId="0" borderId="15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center"/>
    </xf>
    <xf numFmtId="4" fontId="2" fillId="0" borderId="15" xfId="0" applyNumberFormat="1" applyFont="1" applyBorder="1"/>
    <xf numFmtId="4" fontId="2" fillId="0" borderId="16" xfId="0" applyNumberFormat="1" applyFont="1" applyBorder="1"/>
    <xf numFmtId="4" fontId="2" fillId="0" borderId="17" xfId="0" applyNumberFormat="1" applyFont="1" applyBorder="1"/>
    <xf numFmtId="4" fontId="2" fillId="0" borderId="18" xfId="0" applyNumberFormat="1" applyFont="1" applyBorder="1"/>
    <xf numFmtId="4" fontId="2" fillId="0" borderId="8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9" fontId="2" fillId="0" borderId="13" xfId="1" applyFont="1" applyBorder="1" applyAlignment="1">
      <alignment horizontal="center"/>
    </xf>
    <xf numFmtId="9" fontId="2" fillId="0" borderId="15" xfId="1" applyFont="1" applyBorder="1" applyAlignment="1">
      <alignment horizontal="center"/>
    </xf>
    <xf numFmtId="9" fontId="2" fillId="0" borderId="18" xfId="1" applyFont="1" applyBorder="1" applyAlignment="1">
      <alignment horizontal="center"/>
    </xf>
    <xf numFmtId="3" fontId="2" fillId="0" borderId="11" xfId="0" applyNumberFormat="1" applyFont="1" applyBorder="1" applyAlignment="1">
      <alignment horizontal="left"/>
    </xf>
    <xf numFmtId="3" fontId="2" fillId="0" borderId="14" xfId="0" applyNumberFormat="1" applyFont="1" applyBorder="1" applyAlignment="1">
      <alignment horizontal="left"/>
    </xf>
    <xf numFmtId="3" fontId="2" fillId="0" borderId="16" xfId="0" applyNumberFormat="1" applyFont="1" applyBorder="1" applyAlignment="1">
      <alignment horizontal="left"/>
    </xf>
    <xf numFmtId="4" fontId="8" fillId="0" borderId="19" xfId="0" applyNumberFormat="1" applyFont="1" applyBorder="1" applyAlignment="1">
      <alignment horizontal="center"/>
    </xf>
    <xf numFmtId="4" fontId="8" fillId="0" borderId="20" xfId="0" applyNumberFormat="1" applyFont="1" applyBorder="1" applyAlignment="1">
      <alignment horizontal="center"/>
    </xf>
    <xf numFmtId="4" fontId="8" fillId="0" borderId="21" xfId="0" applyNumberFormat="1" applyFont="1" applyBorder="1" applyAlignment="1">
      <alignment horizontal="center"/>
    </xf>
    <xf numFmtId="4" fontId="8" fillId="0" borderId="22" xfId="0" applyNumberFormat="1" applyFont="1" applyBorder="1"/>
    <xf numFmtId="4" fontId="2" fillId="0" borderId="23" xfId="0" applyNumberFormat="1" applyFont="1" applyBorder="1" applyAlignment="1">
      <alignment horizontal="center" vertical="center"/>
    </xf>
    <xf numFmtId="9" fontId="2" fillId="0" borderId="23" xfId="1" applyFont="1" applyBorder="1" applyAlignment="1">
      <alignment horizontal="center" vertical="center"/>
    </xf>
    <xf numFmtId="9" fontId="2" fillId="0" borderId="24" xfId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5" xfId="0" applyNumberFormat="1" applyFont="1" applyFill="1" applyBorder="1" applyAlignment="1">
      <alignment horizontal="center" vertical="center"/>
    </xf>
    <xf numFmtId="4" fontId="8" fillId="0" borderId="14" xfId="0" applyNumberFormat="1" applyFont="1" applyBorder="1"/>
    <xf numFmtId="4" fontId="2" fillId="0" borderId="15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right"/>
    </xf>
    <xf numFmtId="3" fontId="2" fillId="0" borderId="15" xfId="0" applyNumberFormat="1" applyFont="1" applyBorder="1" applyAlignment="1">
      <alignment horizontal="center" vertical="center"/>
    </xf>
    <xf numFmtId="166" fontId="2" fillId="0" borderId="0" xfId="0" applyNumberFormat="1" applyFont="1"/>
    <xf numFmtId="1" fontId="2" fillId="0" borderId="1" xfId="0" applyNumberFormat="1" applyFont="1" applyBorder="1"/>
    <xf numFmtId="4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/>
    </xf>
    <xf numFmtId="165" fontId="8" fillId="0" borderId="1" xfId="0" applyNumberFormat="1" applyFont="1" applyBorder="1"/>
    <xf numFmtId="9" fontId="2" fillId="0" borderId="1" xfId="1" applyFont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4" fontId="8" fillId="4" borderId="0" xfId="0" applyNumberFormat="1" applyFont="1" applyFill="1"/>
    <xf numFmtId="10" fontId="2" fillId="4" borderId="1" xfId="1" applyNumberFormat="1" applyFont="1" applyFill="1" applyBorder="1" applyAlignment="1">
      <alignment horizontal="center"/>
    </xf>
    <xf numFmtId="4" fontId="8" fillId="4" borderId="1" xfId="0" applyNumberFormat="1" applyFont="1" applyFill="1" applyBorder="1"/>
    <xf numFmtId="4" fontId="2" fillId="4" borderId="0" xfId="0" applyNumberFormat="1" applyFont="1" applyFill="1"/>
    <xf numFmtId="4" fontId="2" fillId="4" borderId="1" xfId="0" applyNumberFormat="1" applyFont="1" applyFill="1" applyBorder="1"/>
    <xf numFmtId="10" fontId="8" fillId="4" borderId="1" xfId="1" applyNumberFormat="1" applyFont="1" applyFill="1" applyBorder="1"/>
    <xf numFmtId="4" fontId="8" fillId="4" borderId="17" xfId="0" applyNumberFormat="1" applyFont="1" applyFill="1" applyBorder="1"/>
    <xf numFmtId="4" fontId="2" fillId="5" borderId="1" xfId="0" applyNumberFormat="1" applyFont="1" applyFill="1" applyBorder="1"/>
    <xf numFmtId="4" fontId="8" fillId="5" borderId="1" xfId="0" applyNumberFormat="1" applyFont="1" applyFill="1" applyBorder="1"/>
    <xf numFmtId="10" fontId="8" fillId="4" borderId="0" xfId="1" applyNumberFormat="1" applyFont="1" applyFill="1"/>
    <xf numFmtId="4" fontId="14" fillId="0" borderId="0" xfId="0" applyNumberFormat="1" applyFont="1"/>
    <xf numFmtId="165" fontId="8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7" fontId="8" fillId="0" borderId="1" xfId="1" applyNumberFormat="1" applyFont="1" applyBorder="1" applyAlignment="1">
      <alignment horizontal="center"/>
    </xf>
    <xf numFmtId="166" fontId="8" fillId="2" borderId="15" xfId="0" applyNumberFormat="1" applyFont="1" applyFill="1" applyBorder="1" applyAlignment="1">
      <alignment horizontal="center" vertical="center"/>
    </xf>
    <xf numFmtId="9" fontId="2" fillId="0" borderId="1" xfId="0" applyNumberFormat="1" applyFont="1" applyBorder="1"/>
    <xf numFmtId="3" fontId="2" fillId="0" borderId="0" xfId="0" applyNumberFormat="1" applyFont="1" applyAlignment="1">
      <alignment vertical="center"/>
    </xf>
    <xf numFmtId="3" fontId="2" fillId="0" borderId="1" xfId="1" applyNumberFormat="1" applyFont="1" applyBorder="1"/>
    <xf numFmtId="4" fontId="2" fillId="0" borderId="0" xfId="0" applyNumberFormat="1" applyFont="1" applyAlignment="1">
      <alignment horizontal="center" vertical="center" wrapText="1"/>
    </xf>
    <xf numFmtId="166" fontId="2" fillId="2" borderId="0" xfId="0" applyNumberFormat="1" applyFont="1" applyFill="1"/>
    <xf numFmtId="3" fontId="2" fillId="4" borderId="1" xfId="0" applyNumberFormat="1" applyFont="1" applyFill="1" applyBorder="1"/>
    <xf numFmtId="4" fontId="2" fillId="0" borderId="26" xfId="0" applyNumberFormat="1" applyFont="1" applyBorder="1" applyAlignment="1">
      <alignment horizontal="center"/>
    </xf>
    <xf numFmtId="4" fontId="2" fillId="0" borderId="27" xfId="0" applyNumberFormat="1" applyFont="1" applyBorder="1" applyAlignment="1">
      <alignment horizontal="center"/>
    </xf>
    <xf numFmtId="4" fontId="2" fillId="0" borderId="28" xfId="0" applyNumberFormat="1" applyFont="1" applyBorder="1"/>
    <xf numFmtId="4" fontId="8" fillId="0" borderId="28" xfId="0" applyNumberFormat="1" applyFont="1" applyBorder="1"/>
    <xf numFmtId="4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center"/>
    </xf>
    <xf numFmtId="4" fontId="2" fillId="0" borderId="30" xfId="0" applyNumberFormat="1" applyFont="1" applyBorder="1" applyAlignment="1">
      <alignment horizontal="center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center"/>
    </xf>
    <xf numFmtId="4" fontId="2" fillId="0" borderId="31" xfId="0" applyNumberFormat="1" applyFont="1" applyBorder="1"/>
    <xf numFmtId="4" fontId="15" fillId="0" borderId="0" xfId="0" applyNumberFormat="1" applyFont="1"/>
    <xf numFmtId="4" fontId="8" fillId="2" borderId="1" xfId="0" applyNumberFormat="1" applyFont="1" applyFill="1" applyBorder="1"/>
    <xf numFmtId="4" fontId="3" fillId="0" borderId="0" xfId="0" applyNumberFormat="1" applyFont="1"/>
    <xf numFmtId="168" fontId="2" fillId="0" borderId="1" xfId="0" applyNumberFormat="1" applyFont="1" applyBorder="1"/>
    <xf numFmtId="10" fontId="8" fillId="4" borderId="0" xfId="0" applyNumberFormat="1" applyFont="1" applyFill="1"/>
    <xf numFmtId="4" fontId="17" fillId="0" borderId="0" xfId="0" applyNumberFormat="1" applyFont="1"/>
    <xf numFmtId="9" fontId="8" fillId="4" borderId="1" xfId="1" applyFont="1" applyFill="1" applyBorder="1"/>
    <xf numFmtId="0" fontId="2" fillId="0" borderId="0" xfId="0" applyFont="1"/>
    <xf numFmtId="0" fontId="14" fillId="0" borderId="0" xfId="0" applyFont="1"/>
    <xf numFmtId="9" fontId="2" fillId="0" borderId="0" xfId="0" applyNumberFormat="1" applyFont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9" fontId="14" fillId="0" borderId="0" xfId="0" applyNumberFormat="1" applyFont="1"/>
    <xf numFmtId="4" fontId="2" fillId="2" borderId="9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5" borderId="11" xfId="0" applyNumberFormat="1" applyFont="1" applyFill="1" applyBorder="1"/>
    <xf numFmtId="4" fontId="2" fillId="5" borderId="14" xfId="0" applyNumberFormat="1" applyFont="1" applyFill="1" applyBorder="1"/>
    <xf numFmtId="4" fontId="2" fillId="5" borderId="16" xfId="0" applyNumberFormat="1" applyFont="1" applyFill="1" applyBorder="1"/>
    <xf numFmtId="0" fontId="18" fillId="0" borderId="0" xfId="0" applyFont="1"/>
    <xf numFmtId="9" fontId="0" fillId="0" borderId="0" xfId="0" applyNumberFormat="1"/>
    <xf numFmtId="4" fontId="0" fillId="0" borderId="0" xfId="0" applyNumberFormat="1"/>
    <xf numFmtId="0" fontId="19" fillId="0" borderId="0" xfId="0" applyFont="1"/>
    <xf numFmtId="0" fontId="20" fillId="0" borderId="0" xfId="0" applyFont="1"/>
    <xf numFmtId="4" fontId="3" fillId="2" borderId="0" xfId="0" applyNumberFormat="1" applyFont="1" applyFill="1"/>
    <xf numFmtId="4" fontId="10" fillId="2" borderId="0" xfId="0" applyNumberFormat="1" applyFont="1" applyFill="1"/>
    <xf numFmtId="4" fontId="3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/>
    </xf>
    <xf numFmtId="10" fontId="10" fillId="0" borderId="1" xfId="1" applyNumberFormat="1" applyFont="1" applyBorder="1"/>
    <xf numFmtId="164" fontId="3" fillId="0" borderId="1" xfId="0" applyNumberFormat="1" applyFont="1" applyBorder="1" applyAlignment="1">
      <alignment horizontal="center"/>
    </xf>
    <xf numFmtId="9" fontId="3" fillId="0" borderId="1" xfId="1" applyFont="1" applyBorder="1"/>
    <xf numFmtId="167" fontId="3" fillId="0" borderId="0" xfId="0" applyNumberFormat="1" applyFont="1"/>
    <xf numFmtId="0" fontId="27" fillId="0" borderId="0" xfId="0" applyFont="1"/>
    <xf numFmtId="4" fontId="2" fillId="0" borderId="0" xfId="0" applyNumberFormat="1" applyFont="1" applyAlignment="1">
      <alignment vertical="top"/>
    </xf>
    <xf numFmtId="4" fontId="8" fillId="3" borderId="2" xfId="0" applyNumberFormat="1" applyFont="1" applyFill="1" applyBorder="1" applyAlignment="1">
      <alignment horizontal="left" vertical="center" wrapText="1"/>
    </xf>
    <xf numFmtId="4" fontId="8" fillId="3" borderId="3" xfId="0" applyNumberFormat="1" applyFont="1" applyFill="1" applyBorder="1" applyAlignment="1">
      <alignment horizontal="left" vertical="center" wrapText="1"/>
    </xf>
    <xf numFmtId="4" fontId="8" fillId="3" borderId="4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Alignment="1">
      <alignment horizontal="left" wrapText="1"/>
    </xf>
    <xf numFmtId="4" fontId="2" fillId="3" borderId="2" xfId="0" applyNumberFormat="1" applyFont="1" applyFill="1" applyBorder="1" applyAlignment="1">
      <alignment horizontal="left" vertical="center" wrapText="1"/>
    </xf>
    <xf numFmtId="4" fontId="2" fillId="3" borderId="3" xfId="0" applyNumberFormat="1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left" vertical="center" wrapText="1"/>
    </xf>
    <xf numFmtId="0" fontId="28" fillId="0" borderId="0" xfId="0" applyFont="1"/>
    <xf numFmtId="4" fontId="2" fillId="2" borderId="0" xfId="0" applyNumberFormat="1" applyFont="1" applyFill="1"/>
    <xf numFmtId="4" fontId="3" fillId="5" borderId="0" xfId="0" applyNumberFormat="1" applyFont="1" applyFill="1"/>
    <xf numFmtId="1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285750</xdr:colOff>
      <xdr:row>41</xdr:row>
      <xdr:rowOff>175320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FF0D7AF-1913-294F-B57E-578F36344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48950" cy="79858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608133</xdr:colOff>
      <xdr:row>0</xdr:row>
      <xdr:rowOff>98914</xdr:rowOff>
    </xdr:from>
    <xdr:to>
      <xdr:col>12</xdr:col>
      <xdr:colOff>539883</xdr:colOff>
      <xdr:row>2</xdr:row>
      <xdr:rowOff>102579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C29EABD-44CF-42D7-9305-877FC943F4B6}"/>
            </a:ext>
          </a:extLst>
        </xdr:cNvPr>
        <xdr:cNvSpPr txBox="1"/>
      </xdr:nvSpPr>
      <xdr:spPr>
        <a:xfrm>
          <a:off x="89973" y="98914"/>
          <a:ext cx="10180650" cy="46086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2400" b="1"/>
            <a:t>Быстрое форматирование</a:t>
          </a:r>
          <a:endParaRPr lang="ru-RU" sz="1400" b="0" baseline="0"/>
        </a:p>
        <a:p>
          <a:pPr algn="ctr"/>
          <a:r>
            <a:rPr lang="ru-RU" sz="1400" b="0" baseline="0"/>
            <a:t> </a:t>
          </a:r>
          <a:endParaRPr lang="ru-RU" sz="14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328972</xdr:colOff>
      <xdr:row>53</xdr:row>
      <xdr:rowOff>128263</xdr:rowOff>
    </xdr:from>
    <xdr:to>
      <xdr:col>5</xdr:col>
      <xdr:colOff>888424</xdr:colOff>
      <xdr:row>59</xdr:row>
      <xdr:rowOff>197868</xdr:rowOff>
    </xdr:to>
    <xdr:sp macro="" textlink="">
      <xdr:nvSpPr>
        <xdr:cNvPr id="2" name="Шестиугольник 1">
          <a:extLst>
            <a:ext uri="{FF2B5EF4-FFF2-40B4-BE49-F238E27FC236}">
              <a16:creationId xmlns:a16="http://schemas.microsoft.com/office/drawing/2014/main" id="{410064CC-036D-4223-B610-C255016F6A24}"/>
            </a:ext>
          </a:extLst>
        </xdr:cNvPr>
        <xdr:cNvSpPr/>
      </xdr:nvSpPr>
      <xdr:spPr>
        <a:xfrm>
          <a:off x="6444022" y="24464638"/>
          <a:ext cx="1807227" cy="1498355"/>
        </a:xfrm>
        <a:prstGeom prst="hexagon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>
              <a:solidFill>
                <a:srgbClr val="FF0000"/>
              </a:solidFill>
            </a:rPr>
            <a:t>Стоимость</a:t>
          </a:r>
        </a:p>
      </xdr:txBody>
    </xdr:sp>
    <xdr:clientData/>
  </xdr:twoCellAnchor>
  <xdr:twoCellAnchor>
    <xdr:from>
      <xdr:col>6</xdr:col>
      <xdr:colOff>609600</xdr:colOff>
      <xdr:row>59</xdr:row>
      <xdr:rowOff>145154</xdr:rowOff>
    </xdr:from>
    <xdr:to>
      <xdr:col>7</xdr:col>
      <xdr:colOff>1152835</xdr:colOff>
      <xdr:row>65</xdr:row>
      <xdr:rowOff>218423</xdr:rowOff>
    </xdr:to>
    <xdr:sp macro="" textlink="">
      <xdr:nvSpPr>
        <xdr:cNvPr id="3" name="Шестиугольник 2">
          <a:extLst>
            <a:ext uri="{FF2B5EF4-FFF2-40B4-BE49-F238E27FC236}">
              <a16:creationId xmlns:a16="http://schemas.microsoft.com/office/drawing/2014/main" id="{9054C5E2-88B9-4566-B673-122A5B0529FF}"/>
            </a:ext>
          </a:extLst>
        </xdr:cNvPr>
        <xdr:cNvSpPr/>
      </xdr:nvSpPr>
      <xdr:spPr>
        <a:xfrm>
          <a:off x="9220200" y="25910279"/>
          <a:ext cx="1791010" cy="1502019"/>
        </a:xfrm>
        <a:prstGeom prst="hexagon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>
              <a:solidFill>
                <a:srgbClr val="FF0000"/>
              </a:solidFill>
            </a:rPr>
            <a:t>Ставка</a:t>
          </a:r>
        </a:p>
      </xdr:txBody>
    </xdr:sp>
    <xdr:clientData/>
  </xdr:twoCellAnchor>
  <xdr:twoCellAnchor>
    <xdr:from>
      <xdr:col>6</xdr:col>
      <xdr:colOff>570670</xdr:colOff>
      <xdr:row>47</xdr:row>
      <xdr:rowOff>181705</xdr:rowOff>
    </xdr:from>
    <xdr:to>
      <xdr:col>7</xdr:col>
      <xdr:colOff>1162050</xdr:colOff>
      <xdr:row>54</xdr:row>
      <xdr:rowOff>16850</xdr:rowOff>
    </xdr:to>
    <xdr:sp macro="" textlink="">
      <xdr:nvSpPr>
        <xdr:cNvPr id="4" name="Шестиугольник 3">
          <a:extLst>
            <a:ext uri="{FF2B5EF4-FFF2-40B4-BE49-F238E27FC236}">
              <a16:creationId xmlns:a16="http://schemas.microsoft.com/office/drawing/2014/main" id="{D969A679-0BB1-4A68-8F8F-7D69BCFD244D}"/>
            </a:ext>
          </a:extLst>
        </xdr:cNvPr>
        <xdr:cNvSpPr/>
      </xdr:nvSpPr>
      <xdr:spPr>
        <a:xfrm>
          <a:off x="9181270" y="23089330"/>
          <a:ext cx="1839155" cy="1502020"/>
        </a:xfrm>
        <a:prstGeom prst="hexagon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>
              <a:solidFill>
                <a:srgbClr val="FF0000"/>
              </a:solidFill>
            </a:rPr>
            <a:t>ЧОД</a:t>
          </a:r>
        </a:p>
      </xdr:txBody>
    </xdr:sp>
    <xdr:clientData/>
  </xdr:twoCellAnchor>
  <xdr:twoCellAnchor>
    <xdr:from>
      <xdr:col>7</xdr:col>
      <xdr:colOff>68015</xdr:colOff>
      <xdr:row>54</xdr:row>
      <xdr:rowOff>26374</xdr:rowOff>
    </xdr:from>
    <xdr:to>
      <xdr:col>7</xdr:col>
      <xdr:colOff>447675</xdr:colOff>
      <xdr:row>59</xdr:row>
      <xdr:rowOff>142874</xdr:rowOff>
    </xdr:to>
    <xdr:sp macro="" textlink="">
      <xdr:nvSpPr>
        <xdr:cNvPr id="5" name="Стрелка: вверх-вниз 4">
          <a:extLst>
            <a:ext uri="{FF2B5EF4-FFF2-40B4-BE49-F238E27FC236}">
              <a16:creationId xmlns:a16="http://schemas.microsoft.com/office/drawing/2014/main" id="{A04B2461-63F7-48B9-AF7B-129222AE309D}"/>
            </a:ext>
          </a:extLst>
        </xdr:cNvPr>
        <xdr:cNvSpPr/>
      </xdr:nvSpPr>
      <xdr:spPr>
        <a:xfrm>
          <a:off x="9926390" y="24600874"/>
          <a:ext cx="379660" cy="1307125"/>
        </a:xfrm>
        <a:prstGeom prst="up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/>
        </a:p>
      </xdr:txBody>
    </xdr:sp>
    <xdr:clientData/>
  </xdr:twoCellAnchor>
  <xdr:twoCellAnchor>
    <xdr:from>
      <xdr:col>5</xdr:col>
      <xdr:colOff>667729</xdr:colOff>
      <xdr:row>59</xdr:row>
      <xdr:rowOff>31479</xdr:rowOff>
    </xdr:from>
    <xdr:to>
      <xdr:col>6</xdr:col>
      <xdr:colOff>860955</xdr:colOff>
      <xdr:row>60</xdr:row>
      <xdr:rowOff>135983</xdr:rowOff>
    </xdr:to>
    <xdr:sp macro="" textlink="">
      <xdr:nvSpPr>
        <xdr:cNvPr id="6" name="Стрелка: вверх-вниз 5">
          <a:extLst>
            <a:ext uri="{FF2B5EF4-FFF2-40B4-BE49-F238E27FC236}">
              <a16:creationId xmlns:a16="http://schemas.microsoft.com/office/drawing/2014/main" id="{E9E59FCB-35A1-4C18-B7E1-32518702E279}"/>
            </a:ext>
          </a:extLst>
        </xdr:cNvPr>
        <xdr:cNvSpPr/>
      </xdr:nvSpPr>
      <xdr:spPr>
        <a:xfrm rot="17788869">
          <a:off x="8579740" y="25247418"/>
          <a:ext cx="342629" cy="1441001"/>
        </a:xfrm>
        <a:prstGeom prst="up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/>
        </a:p>
      </xdr:txBody>
    </xdr:sp>
    <xdr:clientData/>
  </xdr:twoCellAnchor>
  <xdr:twoCellAnchor>
    <xdr:from>
      <xdr:col>5</xdr:col>
      <xdr:colOff>649482</xdr:colOff>
      <xdr:row>52</xdr:row>
      <xdr:rowOff>208287</xdr:rowOff>
    </xdr:from>
    <xdr:to>
      <xdr:col>6</xdr:col>
      <xdr:colOff>782347</xdr:colOff>
      <xdr:row>54</xdr:row>
      <xdr:rowOff>74666</xdr:rowOff>
    </xdr:to>
    <xdr:sp macro="" textlink="">
      <xdr:nvSpPr>
        <xdr:cNvPr id="7" name="Стрелка: вверх-вниз 6">
          <a:extLst>
            <a:ext uri="{FF2B5EF4-FFF2-40B4-BE49-F238E27FC236}">
              <a16:creationId xmlns:a16="http://schemas.microsoft.com/office/drawing/2014/main" id="{083367F0-DAFE-4DDA-A6C7-8A5CDAC40BA2}"/>
            </a:ext>
          </a:extLst>
        </xdr:cNvPr>
        <xdr:cNvSpPr/>
      </xdr:nvSpPr>
      <xdr:spPr>
        <a:xfrm rot="14652248">
          <a:off x="8531312" y="23787532"/>
          <a:ext cx="342629" cy="1380640"/>
        </a:xfrm>
        <a:prstGeom prst="upDown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FAA0-30D8-44C7-9B2B-86C0199B6F78}">
  <dimension ref="A1"/>
  <sheetViews>
    <sheetView tabSelected="1" workbookViewId="0">
      <selection activeCell="U31" sqref="U31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B15E9-A968-4290-B579-E65EACD65237}">
  <dimension ref="B1:W24"/>
  <sheetViews>
    <sheetView zoomScaleNormal="100" workbookViewId="0">
      <selection activeCell="C25" sqref="C25"/>
    </sheetView>
  </sheetViews>
  <sheetFormatPr defaultRowHeight="15"/>
  <cols>
    <col min="1" max="1" width="3" customWidth="1"/>
    <col min="14" max="14" width="11.5703125" bestFit="1" customWidth="1"/>
  </cols>
  <sheetData>
    <row r="1" spans="2:3" ht="28.5">
      <c r="B1" s="134" t="s">
        <v>658</v>
      </c>
    </row>
    <row r="3" spans="2:3" ht="28.5">
      <c r="B3" s="134" t="s">
        <v>657</v>
      </c>
      <c r="C3" s="130"/>
    </row>
    <row r="5" spans="2:3" ht="28.5">
      <c r="B5" s="134" t="s">
        <v>710</v>
      </c>
      <c r="C5" s="130"/>
    </row>
    <row r="6" spans="2:3" ht="29.25">
      <c r="B6" s="130"/>
      <c r="C6" s="143" t="s">
        <v>711</v>
      </c>
    </row>
    <row r="7" spans="2:3" ht="29.25">
      <c r="B7" s="130"/>
      <c r="C7" s="143" t="s">
        <v>712</v>
      </c>
    </row>
    <row r="8" spans="2:3" ht="29.25">
      <c r="B8" s="130"/>
      <c r="C8" s="143" t="s">
        <v>713</v>
      </c>
    </row>
    <row r="9" spans="2:3" ht="29.25">
      <c r="B9" s="130"/>
      <c r="C9" s="143" t="s">
        <v>714</v>
      </c>
    </row>
    <row r="11" spans="2:3" ht="28.5">
      <c r="B11" s="134" t="s">
        <v>653</v>
      </c>
      <c r="C11" s="130"/>
    </row>
    <row r="13" spans="2:3" ht="28.5">
      <c r="B13" s="134" t="s">
        <v>659</v>
      </c>
    </row>
    <row r="14" spans="2:3" ht="28.5">
      <c r="C14" s="133" t="s">
        <v>723</v>
      </c>
    </row>
    <row r="16" spans="2:3" ht="28.5">
      <c r="B16" s="134" t="s">
        <v>654</v>
      </c>
      <c r="C16" s="130"/>
    </row>
    <row r="17" spans="2:23">
      <c r="V17" s="132"/>
      <c r="W17" s="132"/>
    </row>
    <row r="18" spans="2:23" ht="28.5">
      <c r="B18" s="134" t="s">
        <v>655</v>
      </c>
      <c r="C18" s="130"/>
      <c r="N18" s="152"/>
      <c r="V18" s="131"/>
    </row>
    <row r="20" spans="2:23" ht="28.5">
      <c r="B20" s="134" t="s">
        <v>656</v>
      </c>
      <c r="C20" s="130"/>
    </row>
    <row r="21" spans="2:23" ht="29.25">
      <c r="B21" s="130"/>
      <c r="C21" s="143" t="s">
        <v>715</v>
      </c>
    </row>
    <row r="22" spans="2:23" ht="29.25">
      <c r="B22" s="130"/>
      <c r="C22" s="143" t="s">
        <v>716</v>
      </c>
    </row>
    <row r="23" spans="2:23" ht="29.25">
      <c r="B23" s="130"/>
      <c r="C23" s="143" t="s">
        <v>717</v>
      </c>
    </row>
    <row r="24" spans="2:23" ht="29.25">
      <c r="B24" s="130"/>
      <c r="C24" s="143" t="s">
        <v>718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66A6-5D7F-4811-A652-1E0411AB36CE}">
  <dimension ref="B5:I36"/>
  <sheetViews>
    <sheetView zoomScale="130" zoomScaleNormal="130" workbookViewId="0"/>
  </sheetViews>
  <sheetFormatPr defaultColWidth="9.140625" defaultRowHeight="18.75"/>
  <cols>
    <col min="1" max="1" width="1.28515625" style="118" customWidth="1"/>
    <col min="2" max="2" width="27.7109375" style="118" customWidth="1"/>
    <col min="3" max="4" width="18" style="118" customWidth="1"/>
    <col min="5" max="7" width="16.28515625" style="118" customWidth="1"/>
    <col min="8" max="8" width="9.140625" style="118"/>
    <col min="9" max="13" width="4.28515625" style="118" customWidth="1"/>
    <col min="14" max="16384" width="9.140625" style="118"/>
  </cols>
  <sheetData>
    <row r="5" spans="2:9">
      <c r="B5" s="118" t="s">
        <v>617</v>
      </c>
      <c r="C5" s="119" t="s">
        <v>618</v>
      </c>
      <c r="E5" s="120"/>
      <c r="F5" s="120"/>
      <c r="G5" s="120"/>
      <c r="H5" s="120"/>
      <c r="I5" s="120"/>
    </row>
    <row r="6" spans="2:9">
      <c r="B6" s="118" t="s">
        <v>619</v>
      </c>
      <c r="C6" s="119" t="s">
        <v>620</v>
      </c>
    </row>
    <row r="7" spans="2:9">
      <c r="B7" s="118" t="s">
        <v>621</v>
      </c>
      <c r="C7" s="119" t="s">
        <v>622</v>
      </c>
    </row>
    <row r="8" spans="2:9">
      <c r="B8" s="118" t="s">
        <v>623</v>
      </c>
      <c r="C8" s="119" t="s">
        <v>624</v>
      </c>
    </row>
    <row r="9" spans="2:9">
      <c r="B9" s="118" t="s">
        <v>625</v>
      </c>
      <c r="C9" s="119" t="s">
        <v>626</v>
      </c>
    </row>
    <row r="10" spans="2:9">
      <c r="B10" s="118" t="s">
        <v>627</v>
      </c>
      <c r="C10" s="119" t="s">
        <v>628</v>
      </c>
    </row>
    <row r="11" spans="2:9">
      <c r="B11" s="118" t="s">
        <v>629</v>
      </c>
      <c r="C11" s="119" t="s">
        <v>630</v>
      </c>
    </row>
    <row r="12" spans="2:9">
      <c r="B12" s="118" t="s">
        <v>631</v>
      </c>
      <c r="C12" s="119" t="s">
        <v>632</v>
      </c>
    </row>
    <row r="13" spans="2:9">
      <c r="B13" s="118" t="s">
        <v>633</v>
      </c>
      <c r="C13" s="119" t="s">
        <v>634</v>
      </c>
      <c r="E13" s="119"/>
      <c r="F13" s="119"/>
      <c r="H13" s="119"/>
    </row>
    <row r="14" spans="2:9">
      <c r="B14" s="118" t="s">
        <v>635</v>
      </c>
      <c r="C14" s="119" t="s">
        <v>636</v>
      </c>
    </row>
    <row r="15" spans="2:9">
      <c r="B15" s="118" t="s">
        <v>637</v>
      </c>
      <c r="C15" s="119" t="s">
        <v>638</v>
      </c>
    </row>
    <row r="16" spans="2:9">
      <c r="D16" s="124"/>
    </row>
    <row r="17" spans="2:7">
      <c r="B17" s="118" t="s">
        <v>639</v>
      </c>
      <c r="C17" s="119" t="s">
        <v>719</v>
      </c>
      <c r="F17" s="120"/>
    </row>
    <row r="18" spans="2:7">
      <c r="B18" s="118" t="s">
        <v>640</v>
      </c>
      <c r="C18" s="119" t="s">
        <v>641</v>
      </c>
    </row>
    <row r="19" spans="2:7">
      <c r="C19" s="120"/>
    </row>
    <row r="20" spans="2:7">
      <c r="C20" s="119" t="s">
        <v>642</v>
      </c>
    </row>
    <row r="21" spans="2:7">
      <c r="B21" s="1"/>
    </row>
    <row r="22" spans="2:7">
      <c r="C22" s="119" t="s">
        <v>643</v>
      </c>
    </row>
    <row r="23" spans="2:7">
      <c r="C23" s="119" t="s">
        <v>644</v>
      </c>
    </row>
    <row r="25" spans="2:7">
      <c r="C25" s="118" t="s">
        <v>645</v>
      </c>
    </row>
    <row r="26" spans="2:7">
      <c r="C26" s="118" t="s">
        <v>646</v>
      </c>
    </row>
    <row r="27" spans="2:7">
      <c r="C27" s="118" t="s">
        <v>647</v>
      </c>
    </row>
    <row r="29" spans="2:7">
      <c r="C29" s="121" t="s">
        <v>648</v>
      </c>
      <c r="D29" s="121" t="s">
        <v>649</v>
      </c>
      <c r="E29" s="121" t="s">
        <v>650</v>
      </c>
      <c r="F29" s="121" t="s">
        <v>651</v>
      </c>
      <c r="G29" s="121" t="s">
        <v>652</v>
      </c>
    </row>
    <row r="30" spans="2:7">
      <c r="C30" s="122">
        <v>40179</v>
      </c>
      <c r="D30" s="122">
        <v>43101</v>
      </c>
      <c r="E30" s="123">
        <f>DATEDIF(C30,D30,"m")</f>
        <v>96</v>
      </c>
      <c r="F30" s="123">
        <f>DATEDIF(C30,D30,"y")</f>
        <v>8</v>
      </c>
      <c r="G30" s="123">
        <f>DATEDIF(C30,D30,"d")</f>
        <v>2922</v>
      </c>
    </row>
    <row r="33" spans="3:7">
      <c r="C33" s="1"/>
      <c r="D33" s="1"/>
      <c r="E33" s="1"/>
      <c r="F33" s="1"/>
      <c r="G33" s="1"/>
    </row>
    <row r="34" spans="3:7">
      <c r="D34" s="1"/>
      <c r="E34" s="1"/>
      <c r="F34" s="1"/>
      <c r="G34" s="1"/>
    </row>
    <row r="35" spans="3:7">
      <c r="D35" s="1"/>
      <c r="E35" s="1"/>
      <c r="F35" s="1"/>
      <c r="G35" s="1"/>
    </row>
    <row r="36" spans="3:7">
      <c r="D36" s="1"/>
      <c r="E36" s="1"/>
      <c r="F36" s="1"/>
      <c r="G36" s="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5DBD-6D46-4195-9937-004EF8B842E4}">
  <dimension ref="B1:J373"/>
  <sheetViews>
    <sheetView zoomScale="115" zoomScaleNormal="115" workbookViewId="0"/>
  </sheetViews>
  <sheetFormatPr defaultColWidth="9.140625" defaultRowHeight="18.75"/>
  <cols>
    <col min="1" max="1" width="4.28515625" style="1" customWidth="1"/>
    <col min="2" max="2" width="45.140625" style="1" bestFit="1" customWidth="1"/>
    <col min="3" max="3" width="24.5703125" style="1" customWidth="1"/>
    <col min="4" max="10" width="18.140625" style="1" customWidth="1"/>
    <col min="11" max="16384" width="9.140625" style="1"/>
  </cols>
  <sheetData>
    <row r="1" spans="2:10" ht="19.5" thickBot="1"/>
    <row r="2" spans="2:10" ht="134.25" customHeight="1" thickBot="1">
      <c r="B2" s="145" t="s">
        <v>271</v>
      </c>
      <c r="C2" s="146"/>
      <c r="D2" s="146"/>
      <c r="E2" s="146"/>
      <c r="F2" s="146"/>
      <c r="G2" s="146"/>
      <c r="H2" s="146"/>
      <c r="I2" s="146"/>
      <c r="J2" s="147"/>
    </row>
    <row r="5" spans="2:10">
      <c r="B5" s="2" t="s">
        <v>272</v>
      </c>
      <c r="C5" s="2">
        <v>4000</v>
      </c>
    </row>
    <row r="6" spans="2:10">
      <c r="B6" s="2" t="s">
        <v>277</v>
      </c>
      <c r="C6" s="71">
        <v>16</v>
      </c>
    </row>
    <row r="7" spans="2:10">
      <c r="B7" s="2" t="s">
        <v>274</v>
      </c>
      <c r="C7" s="71">
        <v>2010</v>
      </c>
      <c r="I7" s="120"/>
    </row>
    <row r="8" spans="2:10">
      <c r="B8" s="2" t="s">
        <v>273</v>
      </c>
      <c r="C8" s="71">
        <v>2017</v>
      </c>
    </row>
    <row r="9" spans="2:10">
      <c r="B9" s="2" t="s">
        <v>275</v>
      </c>
      <c r="C9" s="2">
        <v>85</v>
      </c>
      <c r="D9" s="90" t="s">
        <v>568</v>
      </c>
    </row>
    <row r="10" spans="2:10">
      <c r="B10" s="2" t="s">
        <v>276</v>
      </c>
      <c r="C10" s="2">
        <v>119</v>
      </c>
      <c r="D10" s="90" t="s">
        <v>568</v>
      </c>
    </row>
    <row r="11" spans="2:10">
      <c r="B11" s="14" t="s">
        <v>35</v>
      </c>
      <c r="C11" s="2"/>
    </row>
    <row r="12" spans="2:10">
      <c r="B12" s="2" t="s">
        <v>278</v>
      </c>
      <c r="C12" s="2">
        <f>C10/C9</f>
        <v>1.4</v>
      </c>
    </row>
    <row r="13" spans="2:10">
      <c r="B13" s="2" t="s">
        <v>507</v>
      </c>
      <c r="C13" s="2">
        <f>C5*C12</f>
        <v>5600</v>
      </c>
    </row>
    <row r="14" spans="2:10">
      <c r="B14" s="2" t="s">
        <v>279</v>
      </c>
      <c r="C14" s="2">
        <f>C8-C7</f>
        <v>7</v>
      </c>
    </row>
    <row r="15" spans="2:10">
      <c r="B15" s="2" t="s">
        <v>301</v>
      </c>
      <c r="C15" s="13">
        <f>C14/C6</f>
        <v>0.4375</v>
      </c>
    </row>
    <row r="16" spans="2:10">
      <c r="B16" s="2" t="s">
        <v>53</v>
      </c>
      <c r="C16" s="84">
        <f>C13*(1-C15)</f>
        <v>3150</v>
      </c>
    </row>
    <row r="18" spans="2:10" ht="19.5" thickBot="1"/>
    <row r="19" spans="2:10" ht="39" customHeight="1" thickBot="1">
      <c r="B19" s="145" t="s">
        <v>280</v>
      </c>
      <c r="C19" s="146"/>
      <c r="D19" s="146"/>
      <c r="E19" s="146"/>
      <c r="F19" s="146"/>
      <c r="G19" s="146"/>
      <c r="H19" s="146"/>
      <c r="I19" s="146"/>
      <c r="J19" s="147"/>
    </row>
    <row r="22" spans="2:10">
      <c r="B22" s="2" t="s">
        <v>281</v>
      </c>
      <c r="C22" s="5">
        <v>0.1</v>
      </c>
    </row>
    <row r="23" spans="2:10">
      <c r="B23" s="2" t="s">
        <v>282</v>
      </c>
      <c r="C23" s="5">
        <v>0.15</v>
      </c>
    </row>
    <row r="24" spans="2:10">
      <c r="B24" s="2" t="s">
        <v>283</v>
      </c>
      <c r="C24" s="5">
        <v>0.05</v>
      </c>
    </row>
    <row r="25" spans="2:10">
      <c r="B25" s="2" t="s">
        <v>284</v>
      </c>
      <c r="C25" s="85">
        <f>1-(1-C22)*(1-C23)*(1-C24)</f>
        <v>0.27324999999999999</v>
      </c>
      <c r="D25" s="111" t="s">
        <v>569</v>
      </c>
    </row>
    <row r="27" spans="2:10" ht="19.5" thickBot="1"/>
    <row r="28" spans="2:10" ht="119.25" customHeight="1" thickBot="1">
      <c r="B28" s="145" t="s">
        <v>588</v>
      </c>
      <c r="C28" s="146"/>
      <c r="D28" s="146"/>
      <c r="E28" s="146"/>
      <c r="F28" s="146"/>
      <c r="G28" s="146"/>
      <c r="H28" s="146"/>
      <c r="I28" s="146"/>
      <c r="J28" s="147"/>
    </row>
    <row r="31" spans="2:10">
      <c r="B31" s="2" t="s">
        <v>285</v>
      </c>
      <c r="C31" s="2">
        <v>500</v>
      </c>
    </row>
    <row r="32" spans="2:10">
      <c r="B32" s="2" t="s">
        <v>286</v>
      </c>
      <c r="C32" s="2">
        <v>400</v>
      </c>
    </row>
    <row r="33" spans="2:10">
      <c r="B33" s="2" t="s">
        <v>111</v>
      </c>
      <c r="C33" s="2">
        <v>1000</v>
      </c>
    </row>
    <row r="34" spans="2:10">
      <c r="B34" s="2" t="s">
        <v>30</v>
      </c>
      <c r="C34" s="5">
        <v>0.1</v>
      </c>
    </row>
    <row r="35" spans="2:10">
      <c r="B35" s="2" t="s">
        <v>287</v>
      </c>
      <c r="C35" s="5">
        <v>0.3</v>
      </c>
    </row>
    <row r="36" spans="2:10">
      <c r="B36" s="14" t="s">
        <v>35</v>
      </c>
      <c r="C36" s="2"/>
    </row>
    <row r="37" spans="2:10">
      <c r="B37" s="2" t="s">
        <v>288</v>
      </c>
      <c r="C37" s="2">
        <f>C31-C32</f>
        <v>100</v>
      </c>
    </row>
    <row r="38" spans="2:10">
      <c r="B38" s="2" t="s">
        <v>289</v>
      </c>
      <c r="C38" s="2">
        <f>C37*C33</f>
        <v>100000</v>
      </c>
    </row>
    <row r="39" spans="2:10">
      <c r="B39" s="2" t="s">
        <v>290</v>
      </c>
      <c r="C39" s="2">
        <f>C38/C34</f>
        <v>1000000</v>
      </c>
      <c r="D39" s="90" t="s">
        <v>570</v>
      </c>
    </row>
    <row r="40" spans="2:10">
      <c r="B40" s="2" t="s">
        <v>571</v>
      </c>
      <c r="C40" s="95">
        <f>1-C35</f>
        <v>0.7</v>
      </c>
      <c r="D40" s="90" t="s">
        <v>572</v>
      </c>
    </row>
    <row r="41" spans="2:10">
      <c r="B41" s="2" t="s">
        <v>291</v>
      </c>
      <c r="C41" s="84">
        <f>C39*C40</f>
        <v>700000</v>
      </c>
    </row>
    <row r="43" spans="2:10" ht="19.5" thickBot="1"/>
    <row r="44" spans="2:10" ht="97.5" customHeight="1" thickBot="1">
      <c r="B44" s="145" t="s">
        <v>724</v>
      </c>
      <c r="C44" s="146"/>
      <c r="D44" s="146"/>
      <c r="E44" s="146"/>
      <c r="F44" s="146"/>
      <c r="G44" s="146"/>
      <c r="H44" s="146"/>
      <c r="I44" s="146"/>
      <c r="J44" s="147"/>
    </row>
    <row r="46" spans="2:10">
      <c r="B46" s="2"/>
      <c r="C46" s="19" t="s">
        <v>153</v>
      </c>
      <c r="D46" s="19" t="s">
        <v>211</v>
      </c>
      <c r="E46" s="19" t="s">
        <v>212</v>
      </c>
      <c r="F46" s="19" t="s">
        <v>296</v>
      </c>
      <c r="G46" s="19" t="s">
        <v>297</v>
      </c>
    </row>
    <row r="47" spans="2:10">
      <c r="B47" s="2" t="s">
        <v>292</v>
      </c>
      <c r="C47" s="2"/>
      <c r="D47" s="2">
        <v>100000</v>
      </c>
      <c r="E47" s="2">
        <v>140000</v>
      </c>
      <c r="F47" s="18">
        <f>LN(D47/E47)</f>
        <v>-0.33647223662121289</v>
      </c>
      <c r="G47" s="18">
        <f>LN(E47/D47)</f>
        <v>0.33647223662121289</v>
      </c>
    </row>
    <row r="48" spans="2:10">
      <c r="B48" s="2" t="s">
        <v>293</v>
      </c>
      <c r="C48" s="2">
        <v>150</v>
      </c>
      <c r="D48" s="2">
        <v>100</v>
      </c>
      <c r="E48" s="2">
        <v>175</v>
      </c>
      <c r="F48" s="18">
        <f>LN(D48/E48)</f>
        <v>-0.55961578793542277</v>
      </c>
      <c r="G48" s="18">
        <f>LN(E48/D48)</f>
        <v>0.55961578793542266</v>
      </c>
    </row>
    <row r="49" spans="2:10">
      <c r="B49" s="2" t="s">
        <v>294</v>
      </c>
      <c r="C49" s="2"/>
      <c r="D49" s="2"/>
      <c r="E49" s="2"/>
      <c r="F49" s="18">
        <f>F47/F48</f>
        <v>0.60125579705774912</v>
      </c>
      <c r="G49" s="18">
        <f>G47/G48</f>
        <v>0.60125579705774923</v>
      </c>
    </row>
    <row r="50" spans="2:10">
      <c r="B50" s="2" t="s">
        <v>295</v>
      </c>
      <c r="C50" s="15">
        <f>D47*(C48/D48)^F49</f>
        <v>127607.40890485895</v>
      </c>
      <c r="D50" s="2"/>
      <c r="E50" s="2"/>
      <c r="F50" s="2"/>
      <c r="G50" s="2"/>
      <c r="H50" s="90" t="s">
        <v>573</v>
      </c>
    </row>
    <row r="51" spans="2:10">
      <c r="B51" s="2" t="s">
        <v>298</v>
      </c>
      <c r="C51" s="2">
        <v>1.7</v>
      </c>
      <c r="D51" s="2"/>
      <c r="E51" s="2"/>
      <c r="F51" s="2"/>
      <c r="G51" s="2"/>
    </row>
    <row r="52" spans="2:10">
      <c r="B52" s="2" t="s">
        <v>422</v>
      </c>
      <c r="C52" s="15">
        <f>C50*C51</f>
        <v>216932.59513826022</v>
      </c>
      <c r="D52" s="2"/>
      <c r="E52" s="2"/>
      <c r="F52" s="2"/>
      <c r="G52" s="2"/>
    </row>
    <row r="53" spans="2:10">
      <c r="B53" s="2" t="s">
        <v>299</v>
      </c>
      <c r="C53" s="2">
        <v>15</v>
      </c>
      <c r="D53" s="2"/>
      <c r="E53" s="2"/>
      <c r="F53" s="2"/>
      <c r="G53" s="2"/>
    </row>
    <row r="54" spans="2:10">
      <c r="B54" s="2" t="s">
        <v>300</v>
      </c>
      <c r="C54" s="2">
        <v>28</v>
      </c>
      <c r="D54" s="2"/>
      <c r="E54" s="2"/>
      <c r="F54" s="2"/>
      <c r="G54" s="2"/>
    </row>
    <row r="55" spans="2:10">
      <c r="B55" s="2" t="s">
        <v>20</v>
      </c>
      <c r="C55" s="15">
        <f>C54-C53</f>
        <v>13</v>
      </c>
      <c r="D55" s="2"/>
      <c r="E55" s="2"/>
      <c r="F55" s="2"/>
      <c r="G55" s="2"/>
    </row>
    <row r="56" spans="2:10">
      <c r="B56" s="2" t="s">
        <v>301</v>
      </c>
      <c r="C56" s="13">
        <f>C55/C54</f>
        <v>0.4642857142857143</v>
      </c>
      <c r="D56" s="2"/>
      <c r="E56" s="2"/>
      <c r="F56" s="2"/>
      <c r="G56" s="2"/>
    </row>
    <row r="57" spans="2:10">
      <c r="B57" s="2" t="s">
        <v>53</v>
      </c>
      <c r="C57" s="82">
        <f>C52*(1-C56)</f>
        <v>116213.89025263939</v>
      </c>
      <c r="D57" s="2"/>
      <c r="E57" s="2"/>
      <c r="F57" s="2"/>
      <c r="G57" s="2"/>
    </row>
    <row r="59" spans="2:10">
      <c r="B59" s="90" t="s">
        <v>574</v>
      </c>
    </row>
    <row r="61" spans="2:10" ht="19.5" thickBot="1"/>
    <row r="62" spans="2:10" ht="40.5" customHeight="1" thickBot="1">
      <c r="B62" s="145" t="s">
        <v>502</v>
      </c>
      <c r="C62" s="146"/>
      <c r="D62" s="146"/>
      <c r="E62" s="146"/>
      <c r="F62" s="146"/>
      <c r="G62" s="146"/>
      <c r="H62" s="146"/>
      <c r="I62" s="146"/>
      <c r="J62" s="147"/>
    </row>
    <row r="65" spans="2:10">
      <c r="B65" s="2" t="s">
        <v>93</v>
      </c>
      <c r="C65" s="2">
        <v>28000000</v>
      </c>
    </row>
    <row r="66" spans="2:10">
      <c r="B66" s="2" t="s">
        <v>503</v>
      </c>
      <c r="C66" s="2">
        <v>90000000</v>
      </c>
    </row>
    <row r="67" spans="2:10">
      <c r="B67" s="2" t="s">
        <v>504</v>
      </c>
      <c r="C67" s="95">
        <v>0.2</v>
      </c>
    </row>
    <row r="68" spans="2:10">
      <c r="B68" s="14" t="s">
        <v>35</v>
      </c>
      <c r="C68" s="2"/>
    </row>
    <row r="69" spans="2:10">
      <c r="B69" s="2" t="s">
        <v>333</v>
      </c>
      <c r="C69" s="2">
        <f>C66*(1-C67)</f>
        <v>72000000</v>
      </c>
      <c r="D69" s="90" t="s">
        <v>505</v>
      </c>
    </row>
    <row r="70" spans="2:10">
      <c r="B70" s="2" t="s">
        <v>38</v>
      </c>
      <c r="C70" s="84">
        <f>C69+C65</f>
        <v>100000000</v>
      </c>
    </row>
    <row r="72" spans="2:10" ht="19.5" thickBot="1"/>
    <row r="73" spans="2:10" ht="197.25" customHeight="1" thickBot="1">
      <c r="B73" s="145" t="s">
        <v>720</v>
      </c>
      <c r="C73" s="146"/>
      <c r="D73" s="146"/>
      <c r="E73" s="146"/>
      <c r="F73" s="146"/>
      <c r="G73" s="146"/>
      <c r="H73" s="146"/>
      <c r="I73" s="146"/>
      <c r="J73" s="147"/>
    </row>
    <row r="75" spans="2:10" ht="38.450000000000003" customHeight="1">
      <c r="B75" s="144" t="s">
        <v>302</v>
      </c>
      <c r="C75" s="148" t="s">
        <v>721</v>
      </c>
      <c r="D75" s="148"/>
      <c r="E75" s="148"/>
      <c r="F75" s="148"/>
      <c r="G75" s="148"/>
      <c r="H75" s="148"/>
      <c r="I75" s="148"/>
      <c r="J75" s="148"/>
    </row>
    <row r="76" spans="2:10">
      <c r="C76" s="113" t="s">
        <v>303</v>
      </c>
    </row>
    <row r="77" spans="2:10">
      <c r="C77" s="1" t="s">
        <v>304</v>
      </c>
    </row>
    <row r="78" spans="2:10">
      <c r="C78" s="1" t="s">
        <v>589</v>
      </c>
    </row>
    <row r="80" spans="2:10">
      <c r="B80" s="15" t="s">
        <v>305</v>
      </c>
      <c r="C80" s="2"/>
    </row>
    <row r="81" spans="2:3">
      <c r="B81" s="2" t="s">
        <v>2</v>
      </c>
      <c r="C81" s="2">
        <v>6000</v>
      </c>
    </row>
    <row r="82" spans="2:3">
      <c r="B82" s="2" t="s">
        <v>3</v>
      </c>
      <c r="C82" s="2">
        <v>5000</v>
      </c>
    </row>
    <row r="83" spans="2:3">
      <c r="B83" s="2" t="s">
        <v>306</v>
      </c>
      <c r="C83" s="2">
        <v>10000</v>
      </c>
    </row>
    <row r="84" spans="2:3">
      <c r="B84" s="2" t="s">
        <v>48</v>
      </c>
      <c r="C84" s="5">
        <v>0.9</v>
      </c>
    </row>
    <row r="85" spans="2:3">
      <c r="B85" s="2" t="s">
        <v>308</v>
      </c>
      <c r="C85" s="2">
        <v>1500</v>
      </c>
    </row>
    <row r="86" spans="2:3">
      <c r="B86" s="2" t="s">
        <v>30</v>
      </c>
      <c r="C86" s="5">
        <v>0.12</v>
      </c>
    </row>
    <row r="87" spans="2:3">
      <c r="B87" s="2" t="s">
        <v>424</v>
      </c>
      <c r="C87" s="2">
        <v>30000</v>
      </c>
    </row>
    <row r="88" spans="2:3">
      <c r="B88" s="2" t="s">
        <v>309</v>
      </c>
      <c r="C88" s="5">
        <v>0.2</v>
      </c>
    </row>
    <row r="89" spans="2:3">
      <c r="B89" s="14" t="s">
        <v>35</v>
      </c>
      <c r="C89" s="2"/>
    </row>
    <row r="90" spans="2:3">
      <c r="B90" s="2" t="s">
        <v>19</v>
      </c>
      <c r="C90" s="2">
        <f>C82*C83</f>
        <v>50000000</v>
      </c>
    </row>
    <row r="91" spans="2:3">
      <c r="B91" s="2" t="s">
        <v>49</v>
      </c>
      <c r="C91" s="2">
        <f>C90*C84</f>
        <v>45000000</v>
      </c>
    </row>
    <row r="92" spans="2:3">
      <c r="B92" s="2" t="s">
        <v>307</v>
      </c>
      <c r="C92" s="2">
        <f>C85*C82</f>
        <v>7500000</v>
      </c>
    </row>
    <row r="93" spans="2:3">
      <c r="B93" s="2" t="s">
        <v>55</v>
      </c>
      <c r="C93" s="2">
        <f>C91-C92</f>
        <v>37500000</v>
      </c>
    </row>
    <row r="94" spans="2:3">
      <c r="B94" s="2" t="s">
        <v>38</v>
      </c>
      <c r="C94" s="15">
        <f>C93/C86</f>
        <v>312500000</v>
      </c>
    </row>
    <row r="95" spans="2:3">
      <c r="B95" s="2" t="s">
        <v>425</v>
      </c>
      <c r="C95" s="15">
        <f>C87*C81</f>
        <v>180000000</v>
      </c>
    </row>
    <row r="96" spans="2:3">
      <c r="B96" s="2" t="s">
        <v>43</v>
      </c>
      <c r="C96" s="15">
        <f>C94*C88</f>
        <v>62500000</v>
      </c>
    </row>
    <row r="97" spans="2:4">
      <c r="B97" s="2" t="s">
        <v>310</v>
      </c>
      <c r="C97" s="15">
        <f>C94-C95-C96</f>
        <v>70000000</v>
      </c>
    </row>
    <row r="99" spans="2:4">
      <c r="B99" s="15" t="s">
        <v>311</v>
      </c>
      <c r="C99" s="2"/>
    </row>
    <row r="100" spans="2:4">
      <c r="B100" s="2" t="s">
        <v>2</v>
      </c>
      <c r="C100" s="2">
        <v>6000</v>
      </c>
    </row>
    <row r="101" spans="2:4">
      <c r="B101" s="2" t="s">
        <v>312</v>
      </c>
      <c r="C101" s="2">
        <v>4500</v>
      </c>
    </row>
    <row r="102" spans="2:4">
      <c r="B102" s="2" t="s">
        <v>313</v>
      </c>
      <c r="C102" s="2">
        <v>90000</v>
      </c>
    </row>
    <row r="103" spans="2:4">
      <c r="B103" s="2" t="s">
        <v>314</v>
      </c>
      <c r="C103" s="5">
        <v>0.25</v>
      </c>
    </row>
    <row r="104" spans="2:4">
      <c r="B104" s="14" t="s">
        <v>35</v>
      </c>
      <c r="C104" s="5"/>
    </row>
    <row r="105" spans="2:4">
      <c r="B105" s="2" t="s">
        <v>38</v>
      </c>
      <c r="C105" s="2">
        <f>C102*C101</f>
        <v>405000000</v>
      </c>
    </row>
    <row r="106" spans="2:4">
      <c r="B106" s="2" t="s">
        <v>43</v>
      </c>
      <c r="C106" s="2">
        <f>C105*C103</f>
        <v>101250000</v>
      </c>
    </row>
    <row r="107" spans="2:4">
      <c r="C107" s="1" t="s">
        <v>303</v>
      </c>
    </row>
    <row r="108" spans="2:4">
      <c r="C108" s="1" t="s">
        <v>304</v>
      </c>
    </row>
    <row r="109" spans="2:4">
      <c r="C109" s="1" t="s">
        <v>423</v>
      </c>
    </row>
    <row r="110" spans="2:4">
      <c r="C110" s="1" t="s">
        <v>315</v>
      </c>
    </row>
    <row r="111" spans="2:4">
      <c r="C111" s="1" t="s">
        <v>316</v>
      </c>
    </row>
    <row r="112" spans="2:4">
      <c r="C112" s="22">
        <f>C105-C106-C97</f>
        <v>233750000</v>
      </c>
      <c r="D112" s="1" t="s">
        <v>317</v>
      </c>
    </row>
    <row r="113" spans="2:10">
      <c r="C113" s="80">
        <f>C112/C100</f>
        <v>38958.333333333336</v>
      </c>
      <c r="D113" s="1" t="s">
        <v>722</v>
      </c>
    </row>
    <row r="115" spans="2:10" ht="19.5" thickBot="1"/>
    <row r="116" spans="2:10" ht="203.25" customHeight="1" thickBot="1">
      <c r="B116" s="145" t="s">
        <v>660</v>
      </c>
      <c r="C116" s="146"/>
      <c r="D116" s="146"/>
      <c r="E116" s="146"/>
      <c r="F116" s="146"/>
      <c r="G116" s="146"/>
      <c r="H116" s="146"/>
      <c r="I116" s="146"/>
      <c r="J116" s="147"/>
    </row>
    <row r="119" spans="2:10">
      <c r="B119" s="2" t="s">
        <v>319</v>
      </c>
      <c r="C119" s="2">
        <v>30</v>
      </c>
    </row>
    <row r="120" spans="2:10">
      <c r="B120" s="2" t="s">
        <v>320</v>
      </c>
      <c r="C120" s="2">
        <v>10000</v>
      </c>
    </row>
    <row r="121" spans="2:10">
      <c r="B121" s="2" t="s">
        <v>321</v>
      </c>
      <c r="C121" s="2">
        <v>15</v>
      </c>
    </row>
    <row r="122" spans="2:10">
      <c r="B122" s="2" t="s">
        <v>322</v>
      </c>
      <c r="C122" s="5">
        <v>0.05</v>
      </c>
    </row>
    <row r="123" spans="2:10">
      <c r="B123" s="2" t="s">
        <v>323</v>
      </c>
      <c r="C123" s="5">
        <v>1.7</v>
      </c>
    </row>
    <row r="124" spans="2:10">
      <c r="B124" s="2" t="s">
        <v>324</v>
      </c>
      <c r="C124" s="2">
        <v>1000</v>
      </c>
    </row>
    <row r="125" spans="2:10">
      <c r="B125" s="2" t="s">
        <v>277</v>
      </c>
      <c r="C125" s="2">
        <v>20</v>
      </c>
    </row>
    <row r="126" spans="2:10">
      <c r="B126" s="2" t="s">
        <v>325</v>
      </c>
      <c r="C126" s="2">
        <v>15</v>
      </c>
    </row>
    <row r="127" spans="2:10">
      <c r="B127" s="14" t="s">
        <v>35</v>
      </c>
      <c r="C127" s="2"/>
    </row>
    <row r="128" spans="2:10">
      <c r="B128" s="2" t="s">
        <v>326</v>
      </c>
      <c r="C128" s="2">
        <f>C120*C121</f>
        <v>150000</v>
      </c>
    </row>
    <row r="129" spans="2:10">
      <c r="B129" s="2" t="s">
        <v>327</v>
      </c>
      <c r="C129" s="2">
        <f>C128*C122</f>
        <v>7500</v>
      </c>
      <c r="D129" s="90" t="s">
        <v>575</v>
      </c>
    </row>
    <row r="130" spans="2:10">
      <c r="B130" s="2" t="s">
        <v>323</v>
      </c>
      <c r="C130" s="2">
        <f>C128*C123</f>
        <v>255000</v>
      </c>
      <c r="D130" s="90" t="s">
        <v>576</v>
      </c>
    </row>
    <row r="131" spans="2:10">
      <c r="B131" s="2" t="s">
        <v>328</v>
      </c>
      <c r="C131" s="2">
        <f>C124*C119</f>
        <v>30000</v>
      </c>
    </row>
    <row r="132" spans="2:10">
      <c r="B132" s="2" t="s">
        <v>329</v>
      </c>
      <c r="C132" s="2">
        <f>C128+C129+C130+C131</f>
        <v>442500</v>
      </c>
    </row>
    <row r="133" spans="2:10">
      <c r="B133" s="2" t="s">
        <v>20</v>
      </c>
      <c r="C133" s="2">
        <f>C125-C126</f>
        <v>5</v>
      </c>
    </row>
    <row r="134" spans="2:10">
      <c r="B134" s="2" t="s">
        <v>284</v>
      </c>
      <c r="C134" s="5">
        <f>C133/C125</f>
        <v>0.25</v>
      </c>
      <c r="D134" s="90" t="s">
        <v>577</v>
      </c>
    </row>
    <row r="135" spans="2:10">
      <c r="B135" s="2" t="s">
        <v>53</v>
      </c>
      <c r="C135" s="15">
        <f>C132*(1-C134)</f>
        <v>331875</v>
      </c>
    </row>
    <row r="136" spans="2:10">
      <c r="B136" s="2" t="s">
        <v>330</v>
      </c>
      <c r="C136" s="82">
        <f>ROUND(C135,-2)</f>
        <v>331900</v>
      </c>
    </row>
    <row r="138" spans="2:10" ht="19.5" thickBot="1"/>
    <row r="139" spans="2:10" ht="81.75" customHeight="1" thickBot="1">
      <c r="B139" s="145" t="s">
        <v>331</v>
      </c>
      <c r="C139" s="146"/>
      <c r="D139" s="146"/>
      <c r="E139" s="146"/>
      <c r="F139" s="146"/>
      <c r="G139" s="146"/>
      <c r="H139" s="146"/>
      <c r="I139" s="146"/>
      <c r="J139" s="147"/>
    </row>
    <row r="142" spans="2:10">
      <c r="B142" s="2" t="s">
        <v>38</v>
      </c>
      <c r="C142" s="2">
        <v>12500000</v>
      </c>
    </row>
    <row r="143" spans="2:10">
      <c r="B143" s="2" t="s">
        <v>332</v>
      </c>
      <c r="C143" s="2">
        <v>10000000</v>
      </c>
    </row>
    <row r="144" spans="2:10">
      <c r="B144" s="2" t="s">
        <v>281</v>
      </c>
      <c r="C144" s="2">
        <v>1000000</v>
      </c>
    </row>
    <row r="145" spans="2:10">
      <c r="B145" s="2" t="s">
        <v>282</v>
      </c>
      <c r="C145" s="2">
        <v>500000</v>
      </c>
    </row>
    <row r="146" spans="2:10">
      <c r="B146" s="14" t="s">
        <v>35</v>
      </c>
      <c r="C146" s="2"/>
    </row>
    <row r="147" spans="2:10">
      <c r="B147" s="2" t="s">
        <v>333</v>
      </c>
      <c r="C147" s="2">
        <f>C143-C144-C145</f>
        <v>8500000</v>
      </c>
      <c r="D147" s="111" t="s">
        <v>661</v>
      </c>
    </row>
    <row r="148" spans="2:10">
      <c r="B148" s="2" t="s">
        <v>45</v>
      </c>
      <c r="C148" s="84">
        <f>C142-C147</f>
        <v>4000000</v>
      </c>
    </row>
    <row r="150" spans="2:10" ht="19.5" thickBot="1"/>
    <row r="151" spans="2:10" ht="81.75" customHeight="1" thickBot="1">
      <c r="B151" s="145" t="s">
        <v>334</v>
      </c>
      <c r="C151" s="146"/>
      <c r="D151" s="146"/>
      <c r="E151" s="146"/>
      <c r="F151" s="146"/>
      <c r="G151" s="146"/>
      <c r="H151" s="146"/>
      <c r="I151" s="146"/>
      <c r="J151" s="147"/>
    </row>
    <row r="154" spans="2:10">
      <c r="B154" s="2" t="s">
        <v>340</v>
      </c>
      <c r="C154" s="2">
        <v>1000000</v>
      </c>
    </row>
    <row r="155" spans="2:10">
      <c r="B155" s="2" t="s">
        <v>335</v>
      </c>
      <c r="C155" s="71">
        <v>2010</v>
      </c>
    </row>
    <row r="156" spans="2:10">
      <c r="B156" s="2" t="s">
        <v>273</v>
      </c>
      <c r="C156" s="71">
        <v>2017</v>
      </c>
    </row>
    <row r="157" spans="2:10">
      <c r="B157" s="2" t="s">
        <v>336</v>
      </c>
      <c r="C157" s="2">
        <v>85</v>
      </c>
    </row>
    <row r="158" spans="2:10">
      <c r="B158" s="2" t="s">
        <v>337</v>
      </c>
      <c r="C158" s="2">
        <v>119</v>
      </c>
    </row>
    <row r="159" spans="2:10">
      <c r="B159" s="2" t="s">
        <v>338</v>
      </c>
      <c r="C159" s="2">
        <v>70</v>
      </c>
    </row>
    <row r="160" spans="2:10">
      <c r="B160" s="14" t="s">
        <v>35</v>
      </c>
      <c r="C160" s="2"/>
    </row>
    <row r="161" spans="2:10">
      <c r="B161" s="2" t="s">
        <v>339</v>
      </c>
      <c r="C161" s="2">
        <f>C156-C155</f>
        <v>7</v>
      </c>
    </row>
    <row r="162" spans="2:10">
      <c r="B162" s="2" t="s">
        <v>281</v>
      </c>
      <c r="C162" s="5">
        <f>C161/C159</f>
        <v>0.1</v>
      </c>
    </row>
    <row r="163" spans="2:10">
      <c r="B163" s="2" t="s">
        <v>341</v>
      </c>
      <c r="C163" s="2">
        <f>C158/C157</f>
        <v>1.4</v>
      </c>
    </row>
    <row r="164" spans="2:10">
      <c r="B164" s="2" t="s">
        <v>342</v>
      </c>
      <c r="C164" s="2">
        <f>C154*C163</f>
        <v>1400000</v>
      </c>
    </row>
    <row r="165" spans="2:10">
      <c r="B165" s="2" t="s">
        <v>53</v>
      </c>
      <c r="C165" s="84">
        <f>C164*(1-C162)</f>
        <v>1260000</v>
      </c>
    </row>
    <row r="167" spans="2:10" ht="19.5" thickBot="1"/>
    <row r="168" spans="2:10" ht="137.25" customHeight="1" thickBot="1">
      <c r="B168" s="145" t="s">
        <v>662</v>
      </c>
      <c r="C168" s="146"/>
      <c r="D168" s="146"/>
      <c r="E168" s="146"/>
      <c r="F168" s="146"/>
      <c r="G168" s="146"/>
      <c r="H168" s="146"/>
      <c r="I168" s="146"/>
      <c r="J168" s="147"/>
    </row>
    <row r="171" spans="2:10">
      <c r="B171" s="2" t="s">
        <v>343</v>
      </c>
      <c r="C171" s="2">
        <v>120</v>
      </c>
    </row>
    <row r="172" spans="2:10">
      <c r="B172" s="2" t="s">
        <v>344</v>
      </c>
      <c r="C172" s="2">
        <v>57</v>
      </c>
    </row>
    <row r="173" spans="2:10">
      <c r="B173" s="2" t="s">
        <v>345</v>
      </c>
      <c r="C173" s="2">
        <v>202</v>
      </c>
    </row>
    <row r="174" spans="2:10">
      <c r="B174" s="2" t="s">
        <v>346</v>
      </c>
      <c r="C174" s="2">
        <v>1.1499999999999999</v>
      </c>
    </row>
    <row r="175" spans="2:10">
      <c r="B175" s="2" t="s">
        <v>347</v>
      </c>
      <c r="C175" s="2">
        <v>16000</v>
      </c>
    </row>
    <row r="176" spans="2:10">
      <c r="B176" s="2" t="s">
        <v>325</v>
      </c>
      <c r="C176" s="2">
        <v>12</v>
      </c>
    </row>
    <row r="177" spans="2:10">
      <c r="B177" s="2" t="s">
        <v>348</v>
      </c>
      <c r="C177" s="2">
        <v>29</v>
      </c>
    </row>
    <row r="178" spans="2:10">
      <c r="B178" s="14" t="s">
        <v>35</v>
      </c>
      <c r="C178" s="2"/>
    </row>
    <row r="179" spans="2:10">
      <c r="B179" s="2" t="s">
        <v>349</v>
      </c>
      <c r="C179" s="2">
        <f>C171*C173</f>
        <v>24240</v>
      </c>
    </row>
    <row r="180" spans="2:10">
      <c r="B180" s="2" t="s">
        <v>350</v>
      </c>
      <c r="C180" s="2">
        <f>C179*C172</f>
        <v>1381680</v>
      </c>
    </row>
    <row r="181" spans="2:10">
      <c r="B181" s="2" t="s">
        <v>351</v>
      </c>
      <c r="C181" s="2">
        <f>C180*C174</f>
        <v>1588931.9999999998</v>
      </c>
    </row>
    <row r="182" spans="2:10">
      <c r="B182" s="2" t="s">
        <v>352</v>
      </c>
      <c r="C182" s="2">
        <f>C175*C171</f>
        <v>1920000</v>
      </c>
    </row>
    <row r="183" spans="2:10">
      <c r="B183" s="2" t="s">
        <v>353</v>
      </c>
      <c r="C183" s="2">
        <f>C181+C182</f>
        <v>3508932</v>
      </c>
    </row>
    <row r="184" spans="2:10">
      <c r="B184" s="2" t="s">
        <v>20</v>
      </c>
      <c r="C184" s="2">
        <f>C177-C176</f>
        <v>17</v>
      </c>
    </row>
    <row r="185" spans="2:10">
      <c r="B185" s="2" t="s">
        <v>301</v>
      </c>
      <c r="C185" s="13">
        <f>C184/C177</f>
        <v>0.58620689655172409</v>
      </c>
      <c r="D185" s="111" t="s">
        <v>663</v>
      </c>
    </row>
    <row r="186" spans="2:10">
      <c r="B186" s="2" t="s">
        <v>53</v>
      </c>
      <c r="C186" s="2">
        <f>C183*(1-C185)</f>
        <v>1451971.8620689658</v>
      </c>
    </row>
    <row r="187" spans="2:10">
      <c r="B187" s="2" t="s">
        <v>330</v>
      </c>
      <c r="C187" s="82">
        <f>ROUND(C186,-3)</f>
        <v>1452000</v>
      </c>
    </row>
    <row r="189" spans="2:10" ht="19.5" thickBot="1"/>
    <row r="190" spans="2:10" ht="81" customHeight="1" thickBot="1">
      <c r="B190" s="145" t="s">
        <v>506</v>
      </c>
      <c r="C190" s="146"/>
      <c r="D190" s="146"/>
      <c r="E190" s="146"/>
      <c r="F190" s="146"/>
      <c r="G190" s="146"/>
      <c r="H190" s="146"/>
      <c r="I190" s="146"/>
      <c r="J190" s="147"/>
    </row>
    <row r="193" spans="2:10">
      <c r="B193" s="2" t="s">
        <v>507</v>
      </c>
      <c r="C193" s="2">
        <v>11000000</v>
      </c>
    </row>
    <row r="194" spans="2:10">
      <c r="B194" s="2" t="s">
        <v>281</v>
      </c>
      <c r="C194" s="95">
        <v>0.1</v>
      </c>
    </row>
    <row r="195" spans="2:10">
      <c r="B195" s="2" t="s">
        <v>508</v>
      </c>
      <c r="C195" s="2">
        <v>8800000</v>
      </c>
    </row>
    <row r="196" spans="2:10">
      <c r="B196" s="2" t="s">
        <v>45</v>
      </c>
      <c r="C196" s="2">
        <v>2000000</v>
      </c>
    </row>
    <row r="197" spans="2:10">
      <c r="B197" s="14" t="s">
        <v>35</v>
      </c>
      <c r="C197" s="2"/>
    </row>
    <row r="198" spans="2:10">
      <c r="B198" s="2" t="s">
        <v>38</v>
      </c>
      <c r="C198" s="84">
        <f>C195+C196</f>
        <v>10800000</v>
      </c>
      <c r="D198" s="90" t="s">
        <v>509</v>
      </c>
    </row>
    <row r="199" spans="2:10">
      <c r="D199" s="90" t="s">
        <v>510</v>
      </c>
    </row>
    <row r="200" spans="2:10">
      <c r="D200" s="90" t="s">
        <v>511</v>
      </c>
    </row>
    <row r="202" spans="2:10" ht="19.5" thickBot="1"/>
    <row r="203" spans="2:10" ht="135" customHeight="1" thickBot="1">
      <c r="B203" s="145" t="s">
        <v>664</v>
      </c>
      <c r="C203" s="146"/>
      <c r="D203" s="146"/>
      <c r="E203" s="146"/>
      <c r="F203" s="146"/>
      <c r="G203" s="146"/>
      <c r="H203" s="146"/>
      <c r="I203" s="146"/>
      <c r="J203" s="147"/>
    </row>
    <row r="205" spans="2:10">
      <c r="B205" s="90" t="s">
        <v>578</v>
      </c>
    </row>
    <row r="206" spans="2:10">
      <c r="B206" s="19" t="s">
        <v>354</v>
      </c>
      <c r="C206" s="19" t="s">
        <v>355</v>
      </c>
      <c r="D206" s="19" t="s">
        <v>318</v>
      </c>
      <c r="E206" s="19" t="s">
        <v>196</v>
      </c>
    </row>
    <row r="207" spans="2:10">
      <c r="B207" s="2" t="s">
        <v>356</v>
      </c>
      <c r="C207" s="17" t="s">
        <v>360</v>
      </c>
      <c r="D207" s="17">
        <v>8000</v>
      </c>
      <c r="E207" s="17">
        <v>5600</v>
      </c>
    </row>
    <row r="208" spans="2:10">
      <c r="B208" s="9" t="s">
        <v>357</v>
      </c>
      <c r="C208" s="75" t="s">
        <v>360</v>
      </c>
      <c r="D208" s="75">
        <v>6500</v>
      </c>
      <c r="E208" s="75">
        <v>3253</v>
      </c>
    </row>
    <row r="209" spans="2:6" ht="36.75" customHeight="1">
      <c r="B209" s="72" t="s">
        <v>358</v>
      </c>
      <c r="C209" s="17" t="s">
        <v>361</v>
      </c>
      <c r="D209" s="17">
        <v>7500</v>
      </c>
      <c r="E209" s="17">
        <v>2319</v>
      </c>
    </row>
    <row r="210" spans="2:6" ht="34.5" customHeight="1">
      <c r="B210" s="72" t="s">
        <v>359</v>
      </c>
      <c r="C210" s="17" t="s">
        <v>361</v>
      </c>
      <c r="D210" s="17">
        <v>8370</v>
      </c>
      <c r="E210" s="17">
        <v>4331</v>
      </c>
    </row>
    <row r="211" spans="2:6">
      <c r="B211" s="2" t="s">
        <v>357</v>
      </c>
      <c r="C211" s="17" t="s">
        <v>362</v>
      </c>
      <c r="D211" s="17">
        <v>11000</v>
      </c>
      <c r="E211" s="17">
        <v>1611</v>
      </c>
    </row>
    <row r="213" spans="2:6">
      <c r="B213" s="22" t="s">
        <v>370</v>
      </c>
    </row>
    <row r="214" spans="2:6">
      <c r="B214" s="19" t="s">
        <v>363</v>
      </c>
      <c r="C214" s="19" t="s">
        <v>369</v>
      </c>
    </row>
    <row r="215" spans="2:6">
      <c r="B215" s="2" t="s">
        <v>364</v>
      </c>
      <c r="C215" s="19">
        <v>1.2</v>
      </c>
    </row>
    <row r="216" spans="2:6">
      <c r="B216" s="2" t="s">
        <v>365</v>
      </c>
      <c r="C216" s="19">
        <v>1.1599999999999999</v>
      </c>
    </row>
    <row r="217" spans="2:6">
      <c r="B217" s="2" t="s">
        <v>366</v>
      </c>
      <c r="C217" s="19">
        <v>1</v>
      </c>
    </row>
    <row r="218" spans="2:6">
      <c r="B218" s="9" t="s">
        <v>367</v>
      </c>
      <c r="C218" s="74">
        <v>0.87</v>
      </c>
    </row>
    <row r="219" spans="2:6">
      <c r="B219" s="2" t="s">
        <v>368</v>
      </c>
      <c r="C219" s="19">
        <v>0.86</v>
      </c>
    </row>
    <row r="221" spans="2:6">
      <c r="B221" s="22" t="s">
        <v>371</v>
      </c>
    </row>
    <row r="222" spans="2:6">
      <c r="B222" s="19" t="s">
        <v>372</v>
      </c>
      <c r="C222" s="19" t="s">
        <v>373</v>
      </c>
      <c r="D222" s="19" t="s">
        <v>360</v>
      </c>
      <c r="E222" s="19" t="s">
        <v>362</v>
      </c>
      <c r="F222" s="19" t="s">
        <v>374</v>
      </c>
    </row>
    <row r="223" spans="2:6">
      <c r="B223" s="2" t="s">
        <v>375</v>
      </c>
      <c r="C223" s="19">
        <v>0.7</v>
      </c>
      <c r="D223" s="19">
        <v>0.5</v>
      </c>
      <c r="E223" s="19">
        <v>1</v>
      </c>
      <c r="F223" s="19">
        <v>0.9</v>
      </c>
    </row>
    <row r="224" spans="2:6">
      <c r="B224" s="2" t="s">
        <v>376</v>
      </c>
      <c r="C224" s="19">
        <v>1</v>
      </c>
      <c r="D224" s="74">
        <v>1</v>
      </c>
      <c r="E224" s="19">
        <v>1</v>
      </c>
      <c r="F224" s="19">
        <v>1</v>
      </c>
    </row>
    <row r="225" spans="2:9">
      <c r="B225" s="2" t="s">
        <v>377</v>
      </c>
      <c r="C225" s="19">
        <v>0.9</v>
      </c>
      <c r="D225" s="74">
        <v>0.8</v>
      </c>
      <c r="E225" s="19">
        <v>0.7</v>
      </c>
      <c r="F225" s="19">
        <v>0.4</v>
      </c>
    </row>
    <row r="226" spans="2:9">
      <c r="B226" s="2" t="s">
        <v>378</v>
      </c>
      <c r="C226" s="19">
        <v>0.5</v>
      </c>
      <c r="D226" s="19">
        <v>0.1</v>
      </c>
      <c r="E226" s="19">
        <v>0.9</v>
      </c>
      <c r="F226" s="19">
        <v>0.6</v>
      </c>
    </row>
    <row r="228" spans="2:9">
      <c r="B228" s="22" t="s">
        <v>379</v>
      </c>
    </row>
    <row r="229" spans="2:9">
      <c r="B229" s="19" t="s">
        <v>380</v>
      </c>
      <c r="C229" s="73">
        <v>2010</v>
      </c>
      <c r="D229" s="73">
        <v>2011</v>
      </c>
      <c r="E229" s="73">
        <v>2012</v>
      </c>
      <c r="F229" s="73">
        <v>2013</v>
      </c>
      <c r="G229" s="73">
        <v>2014</v>
      </c>
      <c r="H229" s="73">
        <v>2015</v>
      </c>
      <c r="I229" s="73">
        <v>2016</v>
      </c>
    </row>
    <row r="230" spans="2:9">
      <c r="B230" s="2" t="s">
        <v>381</v>
      </c>
      <c r="C230" s="3">
        <v>172</v>
      </c>
      <c r="D230" s="3">
        <v>180</v>
      </c>
      <c r="E230" s="3">
        <v>174</v>
      </c>
      <c r="F230" s="3">
        <v>177</v>
      </c>
      <c r="G230" s="3">
        <v>185</v>
      </c>
      <c r="H230" s="3">
        <v>192</v>
      </c>
      <c r="I230" s="3">
        <v>195</v>
      </c>
    </row>
    <row r="231" spans="2:9">
      <c r="B231" s="2" t="s">
        <v>382</v>
      </c>
      <c r="C231" s="3">
        <v>167</v>
      </c>
      <c r="D231" s="3">
        <v>175</v>
      </c>
      <c r="E231" s="3">
        <v>181</v>
      </c>
      <c r="F231" s="3">
        <v>174</v>
      </c>
      <c r="G231" s="76">
        <v>176</v>
      </c>
      <c r="H231" s="3">
        <v>177</v>
      </c>
      <c r="I231" s="76">
        <v>184</v>
      </c>
    </row>
    <row r="232" spans="2:9">
      <c r="B232" s="2" t="s">
        <v>383</v>
      </c>
      <c r="C232" s="3">
        <v>198</v>
      </c>
      <c r="D232" s="3">
        <v>203</v>
      </c>
      <c r="E232" s="3">
        <v>212</v>
      </c>
      <c r="F232" s="3">
        <v>211</v>
      </c>
      <c r="G232" s="3">
        <v>214</v>
      </c>
      <c r="H232" s="3">
        <v>221</v>
      </c>
      <c r="I232" s="3">
        <v>226</v>
      </c>
    </row>
    <row r="233" spans="2:9">
      <c r="B233" s="2" t="s">
        <v>384</v>
      </c>
      <c r="C233" s="3">
        <v>113</v>
      </c>
      <c r="D233" s="3">
        <v>120</v>
      </c>
      <c r="E233" s="3">
        <v>122</v>
      </c>
      <c r="F233" s="3">
        <v>129</v>
      </c>
      <c r="G233" s="3">
        <v>132</v>
      </c>
      <c r="H233" s="3">
        <v>128</v>
      </c>
      <c r="I233" s="3">
        <v>136</v>
      </c>
    </row>
    <row r="236" spans="2:9">
      <c r="B236" s="2" t="s">
        <v>385</v>
      </c>
      <c r="C236" s="2">
        <v>8000</v>
      </c>
    </row>
    <row r="237" spans="2:9">
      <c r="B237" s="2" t="s">
        <v>325</v>
      </c>
      <c r="C237" s="2">
        <v>27</v>
      </c>
    </row>
    <row r="238" spans="2:9">
      <c r="B238" s="2" t="s">
        <v>348</v>
      </c>
      <c r="C238" s="2">
        <v>40</v>
      </c>
    </row>
    <row r="239" spans="2:9">
      <c r="B239" s="14" t="s">
        <v>35</v>
      </c>
      <c r="C239" s="2"/>
    </row>
    <row r="240" spans="2:9">
      <c r="B240" s="2" t="s">
        <v>386</v>
      </c>
      <c r="C240" s="15">
        <v>3253</v>
      </c>
    </row>
    <row r="241" spans="2:10">
      <c r="B241" s="2" t="s">
        <v>387</v>
      </c>
      <c r="C241" s="2">
        <v>6500</v>
      </c>
    </row>
    <row r="242" spans="2:10">
      <c r="B242" s="2" t="s">
        <v>388</v>
      </c>
      <c r="C242" s="2">
        <f>C236/C241</f>
        <v>1.2307692307692308</v>
      </c>
    </row>
    <row r="243" spans="2:10">
      <c r="B243" s="2" t="s">
        <v>389</v>
      </c>
      <c r="C243" s="15">
        <v>0.87</v>
      </c>
      <c r="D243" s="90" t="s">
        <v>579</v>
      </c>
    </row>
    <row r="244" spans="2:10">
      <c r="B244" s="2" t="s">
        <v>390</v>
      </c>
      <c r="C244" s="15">
        <v>0.8</v>
      </c>
      <c r="D244" s="90" t="s">
        <v>391</v>
      </c>
    </row>
    <row r="245" spans="2:10">
      <c r="B245" s="2" t="s">
        <v>392</v>
      </c>
      <c r="C245" s="2">
        <v>176</v>
      </c>
      <c r="D245" s="90" t="s">
        <v>580</v>
      </c>
    </row>
    <row r="246" spans="2:10">
      <c r="B246" s="2" t="s">
        <v>393</v>
      </c>
      <c r="C246" s="2">
        <v>184</v>
      </c>
      <c r="D246" s="90" t="s">
        <v>580</v>
      </c>
    </row>
    <row r="247" spans="2:10">
      <c r="B247" s="2" t="s">
        <v>394</v>
      </c>
      <c r="C247" s="77">
        <f>C246/C245</f>
        <v>1.0454545454545454</v>
      </c>
    </row>
    <row r="248" spans="2:10">
      <c r="B248" s="2" t="s">
        <v>32</v>
      </c>
      <c r="C248" s="2">
        <f>C236*C240*C243*C244*C247</f>
        <v>18936008.727272727</v>
      </c>
    </row>
    <row r="249" spans="2:10">
      <c r="B249" s="2" t="s">
        <v>395</v>
      </c>
      <c r="C249" s="2">
        <f>C238-C237</f>
        <v>13</v>
      </c>
    </row>
    <row r="250" spans="2:10">
      <c r="B250" s="2" t="s">
        <v>301</v>
      </c>
      <c r="C250" s="13">
        <f>C249/C238</f>
        <v>0.32500000000000001</v>
      </c>
    </row>
    <row r="251" spans="2:10">
      <c r="B251" s="2" t="s">
        <v>53</v>
      </c>
      <c r="C251" s="15">
        <f>C248*(1-C250)</f>
        <v>12781805.890909091</v>
      </c>
    </row>
    <row r="252" spans="2:10">
      <c r="B252" s="2" t="s">
        <v>330</v>
      </c>
      <c r="C252" s="82">
        <f>ROUND(C251,-5)</f>
        <v>12800000</v>
      </c>
    </row>
    <row r="254" spans="2:10" ht="19.5" thickBot="1"/>
    <row r="255" spans="2:10" ht="61.5" customHeight="1" thickBot="1">
      <c r="B255" s="145" t="s">
        <v>396</v>
      </c>
      <c r="C255" s="146"/>
      <c r="D255" s="146"/>
      <c r="E255" s="146"/>
      <c r="F255" s="146"/>
      <c r="G255" s="146"/>
      <c r="H255" s="146"/>
      <c r="I255" s="146"/>
      <c r="J255" s="147"/>
    </row>
    <row r="258" spans="2:10">
      <c r="B258" s="2"/>
      <c r="C258" s="19" t="s">
        <v>398</v>
      </c>
      <c r="D258" s="19" t="s">
        <v>399</v>
      </c>
      <c r="E258" s="19" t="s">
        <v>401</v>
      </c>
      <c r="F258" s="19" t="s">
        <v>400</v>
      </c>
    </row>
    <row r="259" spans="2:10">
      <c r="B259" s="2" t="s">
        <v>397</v>
      </c>
      <c r="C259" s="78">
        <v>0.1</v>
      </c>
      <c r="D259" s="78">
        <v>1</v>
      </c>
      <c r="E259" s="78">
        <f>C259*D259</f>
        <v>0.1</v>
      </c>
      <c r="F259" s="79">
        <f>E259/E264</f>
        <v>0.30303030303030304</v>
      </c>
    </row>
    <row r="260" spans="2:10">
      <c r="B260" s="2" t="s">
        <v>402</v>
      </c>
      <c r="C260" s="78">
        <v>0.15</v>
      </c>
      <c r="D260" s="78">
        <v>1</v>
      </c>
      <c r="E260" s="78">
        <f t="shared" ref="E260:E261" si="0">C260*D260</f>
        <v>0.15</v>
      </c>
      <c r="F260" s="79">
        <f>E260/E264</f>
        <v>0.45454545454545453</v>
      </c>
    </row>
    <row r="261" spans="2:10">
      <c r="B261" s="2" t="s">
        <v>403</v>
      </c>
      <c r="C261" s="78">
        <v>0.2</v>
      </c>
      <c r="D261" s="78">
        <v>0.4</v>
      </c>
      <c r="E261" s="78">
        <f t="shared" si="0"/>
        <v>8.0000000000000016E-2</v>
      </c>
      <c r="F261" s="81">
        <f>E261/E264</f>
        <v>0.24242424242424246</v>
      </c>
      <c r="G261" s="90" t="s">
        <v>581</v>
      </c>
    </row>
    <row r="262" spans="2:10">
      <c r="B262" s="2" t="s">
        <v>404</v>
      </c>
      <c r="C262" s="78">
        <v>0.15</v>
      </c>
      <c r="D262" s="78"/>
      <c r="E262" s="78"/>
      <c r="F262" s="78"/>
    </row>
    <row r="263" spans="2:10">
      <c r="B263" s="2" t="s">
        <v>405</v>
      </c>
      <c r="C263" s="78">
        <v>0.4</v>
      </c>
      <c r="D263" s="78"/>
      <c r="E263" s="78"/>
      <c r="F263" s="78"/>
    </row>
    <row r="264" spans="2:10">
      <c r="B264" s="2" t="s">
        <v>406</v>
      </c>
      <c r="C264" s="78">
        <f>SUM(C259:C263)</f>
        <v>1</v>
      </c>
      <c r="D264" s="78"/>
      <c r="E264" s="78">
        <f>SUM(E259:E263)</f>
        <v>0.33</v>
      </c>
      <c r="F264" s="78">
        <f>SUM(F259:F263)</f>
        <v>1</v>
      </c>
    </row>
    <row r="266" spans="2:10" ht="19.5" thickBot="1"/>
    <row r="267" spans="2:10" ht="135.75" customHeight="1" thickBot="1">
      <c r="B267" s="145" t="s">
        <v>665</v>
      </c>
      <c r="C267" s="146"/>
      <c r="D267" s="146"/>
      <c r="E267" s="146"/>
      <c r="F267" s="146"/>
      <c r="G267" s="146"/>
      <c r="H267" s="146"/>
      <c r="I267" s="146"/>
      <c r="J267" s="147"/>
    </row>
    <row r="270" spans="2:10">
      <c r="B270" s="90" t="s">
        <v>417</v>
      </c>
    </row>
    <row r="271" spans="2:10">
      <c r="B271" s="1" t="s">
        <v>302</v>
      </c>
      <c r="C271" s="1" t="s">
        <v>303</v>
      </c>
    </row>
    <row r="272" spans="2:10">
      <c r="C272" s="1" t="s">
        <v>304</v>
      </c>
    </row>
    <row r="273" spans="2:3">
      <c r="C273" s="1" t="s">
        <v>423</v>
      </c>
    </row>
    <row r="275" spans="2:3">
      <c r="B275" s="15" t="s">
        <v>305</v>
      </c>
      <c r="C275" s="2"/>
    </row>
    <row r="276" spans="2:3">
      <c r="B276" s="2" t="s">
        <v>2</v>
      </c>
      <c r="C276" s="2">
        <v>5000</v>
      </c>
    </row>
    <row r="277" spans="2:3">
      <c r="B277" s="2" t="s">
        <v>3</v>
      </c>
      <c r="C277" s="2">
        <v>4500</v>
      </c>
    </row>
    <row r="278" spans="2:3">
      <c r="B278" s="2" t="s">
        <v>306</v>
      </c>
      <c r="C278" s="2">
        <v>10000</v>
      </c>
    </row>
    <row r="279" spans="2:3">
      <c r="B279" s="2" t="s">
        <v>48</v>
      </c>
      <c r="C279" s="5">
        <v>0.9</v>
      </c>
    </row>
    <row r="280" spans="2:3">
      <c r="B280" s="2" t="s">
        <v>308</v>
      </c>
      <c r="C280" s="2">
        <v>1500</v>
      </c>
    </row>
    <row r="281" spans="2:3">
      <c r="B281" s="2" t="s">
        <v>30</v>
      </c>
      <c r="C281" s="5">
        <v>0.12</v>
      </c>
    </row>
    <row r="282" spans="2:3">
      <c r="B282" s="2" t="s">
        <v>424</v>
      </c>
      <c r="C282" s="2">
        <v>30000</v>
      </c>
    </row>
    <row r="283" spans="2:3">
      <c r="B283" s="2" t="s">
        <v>309</v>
      </c>
      <c r="C283" s="5">
        <v>0.2</v>
      </c>
    </row>
    <row r="284" spans="2:3">
      <c r="B284" s="14" t="s">
        <v>35</v>
      </c>
      <c r="C284" s="2"/>
    </row>
    <row r="285" spans="2:3">
      <c r="B285" s="2" t="s">
        <v>19</v>
      </c>
      <c r="C285" s="2">
        <f>C277*C278</f>
        <v>45000000</v>
      </c>
    </row>
    <row r="286" spans="2:3">
      <c r="B286" s="2" t="s">
        <v>49</v>
      </c>
      <c r="C286" s="2">
        <f>C285*C279</f>
        <v>40500000</v>
      </c>
    </row>
    <row r="287" spans="2:3">
      <c r="B287" s="2" t="s">
        <v>307</v>
      </c>
      <c r="C287" s="2">
        <f>C280*C277</f>
        <v>6750000</v>
      </c>
    </row>
    <row r="288" spans="2:3">
      <c r="B288" s="2" t="s">
        <v>55</v>
      </c>
      <c r="C288" s="2">
        <f>C286-C287</f>
        <v>33750000</v>
      </c>
    </row>
    <row r="289" spans="2:3">
      <c r="B289" s="2" t="s">
        <v>38</v>
      </c>
      <c r="C289" s="15">
        <f>C288/C281</f>
        <v>281250000</v>
      </c>
    </row>
    <row r="290" spans="2:3">
      <c r="B290" s="2" t="s">
        <v>425</v>
      </c>
      <c r="C290" s="15">
        <f>C282*C276</f>
        <v>150000000</v>
      </c>
    </row>
    <row r="291" spans="2:3">
      <c r="B291" s="2" t="s">
        <v>43</v>
      </c>
      <c r="C291" s="15">
        <f>C289*C283</f>
        <v>56250000</v>
      </c>
    </row>
    <row r="292" spans="2:3">
      <c r="B292" s="2" t="s">
        <v>310</v>
      </c>
      <c r="C292" s="15">
        <f>C289-C290-C291</f>
        <v>75000000</v>
      </c>
    </row>
    <row r="294" spans="2:3">
      <c r="B294" s="15" t="s">
        <v>311</v>
      </c>
      <c r="C294" s="2"/>
    </row>
    <row r="295" spans="2:3">
      <c r="B295" s="2" t="s">
        <v>2</v>
      </c>
      <c r="C295" s="2">
        <v>5000</v>
      </c>
    </row>
    <row r="296" spans="2:3">
      <c r="B296" s="2" t="s">
        <v>312</v>
      </c>
      <c r="C296" s="2">
        <v>4000</v>
      </c>
    </row>
    <row r="297" spans="2:3">
      <c r="B297" s="2" t="s">
        <v>313</v>
      </c>
      <c r="C297" s="2">
        <v>90000</v>
      </c>
    </row>
    <row r="298" spans="2:3">
      <c r="B298" s="2" t="s">
        <v>426</v>
      </c>
      <c r="C298" s="2">
        <v>45000</v>
      </c>
    </row>
    <row r="299" spans="2:3">
      <c r="B299" s="14" t="s">
        <v>35</v>
      </c>
      <c r="C299" s="5"/>
    </row>
    <row r="300" spans="2:3">
      <c r="B300" s="2" t="s">
        <v>38</v>
      </c>
      <c r="C300" s="2">
        <f>C297*C296</f>
        <v>360000000</v>
      </c>
    </row>
    <row r="301" spans="2:3">
      <c r="B301" s="2" t="s">
        <v>425</v>
      </c>
      <c r="C301" s="2">
        <f>C298*C295</f>
        <v>225000000</v>
      </c>
    </row>
    <row r="302" spans="2:3">
      <c r="C302" s="1" t="s">
        <v>303</v>
      </c>
    </row>
    <row r="303" spans="2:3">
      <c r="C303" s="1" t="s">
        <v>304</v>
      </c>
    </row>
    <row r="304" spans="2:3">
      <c r="C304" s="1" t="s">
        <v>423</v>
      </c>
    </row>
    <row r="305" spans="2:10">
      <c r="C305" s="1" t="s">
        <v>315</v>
      </c>
    </row>
    <row r="306" spans="2:10">
      <c r="C306" s="1" t="s">
        <v>414</v>
      </c>
    </row>
    <row r="307" spans="2:10">
      <c r="C307" s="22">
        <f>C300-C301-C292</f>
        <v>60000000</v>
      </c>
      <c r="D307" s="1" t="s">
        <v>415</v>
      </c>
    </row>
    <row r="308" spans="2:10">
      <c r="C308" s="89">
        <f>C307/C300</f>
        <v>0.16666666666666666</v>
      </c>
      <c r="D308" s="1" t="s">
        <v>416</v>
      </c>
    </row>
    <row r="310" spans="2:10" ht="19.5" thickBot="1"/>
    <row r="311" spans="2:10" ht="19.5" thickBot="1">
      <c r="B311" s="145" t="s">
        <v>512</v>
      </c>
      <c r="C311" s="146"/>
      <c r="D311" s="146"/>
      <c r="E311" s="146"/>
      <c r="F311" s="146"/>
      <c r="G311" s="146"/>
      <c r="H311" s="146"/>
      <c r="I311" s="146"/>
      <c r="J311" s="147"/>
    </row>
    <row r="314" spans="2:10">
      <c r="B314" s="2" t="s">
        <v>335</v>
      </c>
      <c r="C314" s="71">
        <v>2010</v>
      </c>
      <c r="D314" s="90" t="s">
        <v>513</v>
      </c>
    </row>
    <row r="315" spans="2:10">
      <c r="B315" s="2" t="s">
        <v>273</v>
      </c>
      <c r="C315" s="71">
        <v>2018</v>
      </c>
      <c r="D315" s="90" t="s">
        <v>513</v>
      </c>
    </row>
    <row r="316" spans="2:10">
      <c r="B316" s="2" t="s">
        <v>277</v>
      </c>
      <c r="C316" s="12">
        <v>25</v>
      </c>
    </row>
    <row r="317" spans="2:10">
      <c r="B317" s="2" t="s">
        <v>395</v>
      </c>
      <c r="C317" s="12">
        <v>12</v>
      </c>
    </row>
    <row r="318" spans="2:10">
      <c r="B318" s="2" t="s">
        <v>35</v>
      </c>
      <c r="C318" s="2"/>
    </row>
    <row r="319" spans="2:10">
      <c r="B319" s="2" t="s">
        <v>299</v>
      </c>
      <c r="C319" s="100">
        <f>C316-C317</f>
        <v>13</v>
      </c>
    </row>
    <row r="321" spans="2:10" ht="19.5" thickBot="1"/>
    <row r="322" spans="2:10" ht="96" customHeight="1" thickBot="1">
      <c r="B322" s="145" t="s">
        <v>666</v>
      </c>
      <c r="C322" s="146"/>
      <c r="D322" s="146"/>
      <c r="E322" s="146"/>
      <c r="F322" s="146"/>
      <c r="G322" s="146"/>
      <c r="H322" s="146"/>
      <c r="I322" s="146"/>
      <c r="J322" s="147"/>
    </row>
    <row r="325" spans="2:10">
      <c r="B325" s="2"/>
      <c r="C325" s="19" t="s">
        <v>153</v>
      </c>
      <c r="D325" s="19" t="s">
        <v>211</v>
      </c>
      <c r="E325" s="19" t="s">
        <v>212</v>
      </c>
      <c r="F325" s="19" t="s">
        <v>213</v>
      </c>
      <c r="G325" s="19" t="s">
        <v>419</v>
      </c>
      <c r="H325" s="19" t="s">
        <v>420</v>
      </c>
    </row>
    <row r="326" spans="2:10">
      <c r="B326" s="2" t="s">
        <v>418</v>
      </c>
      <c r="C326" s="112">
        <f>D326*(C327/D327)^H327</f>
        <v>125794.13475322226</v>
      </c>
      <c r="D326" s="2">
        <v>110000</v>
      </c>
      <c r="E326" s="2">
        <v>100000</v>
      </c>
      <c r="F326" s="2">
        <v>140000</v>
      </c>
      <c r="G326" s="2">
        <f>LN(E326/F326)</f>
        <v>-0.33647223662121289</v>
      </c>
      <c r="H326" s="2"/>
    </row>
    <row r="327" spans="2:10">
      <c r="B327" s="2" t="s">
        <v>318</v>
      </c>
      <c r="C327" s="2">
        <v>150</v>
      </c>
      <c r="D327" s="2">
        <v>120</v>
      </c>
      <c r="E327" s="2">
        <v>100</v>
      </c>
      <c r="F327" s="2">
        <v>175</v>
      </c>
      <c r="G327" s="2">
        <f>LN(E327/F327)</f>
        <v>-0.55961578793542277</v>
      </c>
      <c r="H327" s="2">
        <f>G326/G327</f>
        <v>0.60125579705774912</v>
      </c>
    </row>
    <row r="328" spans="2:10">
      <c r="B328" s="2" t="s">
        <v>421</v>
      </c>
      <c r="C328" s="2">
        <v>1.7</v>
      </c>
      <c r="D328" s="2"/>
      <c r="E328" s="2"/>
      <c r="F328" s="2"/>
      <c r="G328" s="2"/>
      <c r="H328" s="2"/>
    </row>
    <row r="329" spans="2:10">
      <c r="B329" s="2" t="s">
        <v>32</v>
      </c>
      <c r="C329" s="82">
        <f>C326*C328</f>
        <v>213850.02908047783</v>
      </c>
      <c r="D329" s="2"/>
      <c r="E329" s="2"/>
      <c r="F329" s="2"/>
      <c r="G329" s="2"/>
      <c r="H329" s="2"/>
    </row>
    <row r="332" spans="2:10">
      <c r="B332" s="90" t="s">
        <v>582</v>
      </c>
    </row>
    <row r="333" spans="2:10">
      <c r="B333" s="90" t="s">
        <v>583</v>
      </c>
    </row>
    <row r="334" spans="2:10">
      <c r="B334" s="90" t="s">
        <v>584</v>
      </c>
    </row>
    <row r="336" spans="2:10" ht="19.5" thickBot="1"/>
    <row r="337" spans="2:10" ht="40.5" customHeight="1" thickBot="1">
      <c r="B337" s="145" t="s">
        <v>407</v>
      </c>
      <c r="C337" s="146"/>
      <c r="D337" s="146"/>
      <c r="E337" s="146"/>
      <c r="F337" s="146"/>
      <c r="G337" s="146"/>
      <c r="H337" s="146"/>
      <c r="I337" s="146"/>
      <c r="J337" s="147"/>
    </row>
    <row r="340" spans="2:10">
      <c r="B340" s="2" t="s">
        <v>38</v>
      </c>
      <c r="C340" s="2">
        <v>10000000</v>
      </c>
    </row>
    <row r="341" spans="2:10">
      <c r="B341" s="2" t="s">
        <v>342</v>
      </c>
      <c r="C341" s="2">
        <v>8000000</v>
      </c>
    </row>
    <row r="342" spans="2:10">
      <c r="B342" s="2" t="s">
        <v>281</v>
      </c>
      <c r="C342" s="5">
        <v>0.2</v>
      </c>
    </row>
    <row r="343" spans="2:10">
      <c r="B343" s="2" t="s">
        <v>282</v>
      </c>
      <c r="C343" s="5">
        <v>0.1</v>
      </c>
    </row>
    <row r="344" spans="2:10">
      <c r="B344" s="14" t="s">
        <v>408</v>
      </c>
      <c r="C344" s="2"/>
    </row>
    <row r="345" spans="2:10">
      <c r="B345" s="2" t="s">
        <v>409</v>
      </c>
      <c r="C345" s="5">
        <f>C342+C343</f>
        <v>0.30000000000000004</v>
      </c>
      <c r="D345" s="90" t="s">
        <v>585</v>
      </c>
    </row>
    <row r="346" spans="2:10">
      <c r="B346" s="2" t="s">
        <v>333</v>
      </c>
      <c r="C346" s="2">
        <f>C341*(1-C345)</f>
        <v>5600000</v>
      </c>
    </row>
    <row r="347" spans="2:10">
      <c r="B347" s="2" t="s">
        <v>45</v>
      </c>
      <c r="C347" s="82">
        <f>C340-C346</f>
        <v>4400000</v>
      </c>
    </row>
    <row r="348" spans="2:10">
      <c r="B348" s="14" t="s">
        <v>410</v>
      </c>
      <c r="C348" s="2"/>
    </row>
    <row r="349" spans="2:10">
      <c r="B349" s="2" t="s">
        <v>281</v>
      </c>
      <c r="C349" s="2">
        <f>C341*C342</f>
        <v>1600000</v>
      </c>
      <c r="D349" s="90" t="s">
        <v>586</v>
      </c>
    </row>
    <row r="350" spans="2:10">
      <c r="B350" s="2" t="s">
        <v>282</v>
      </c>
      <c r="C350" s="2">
        <f>C341*C343</f>
        <v>800000</v>
      </c>
      <c r="D350" s="90" t="s">
        <v>586</v>
      </c>
    </row>
    <row r="351" spans="2:10">
      <c r="B351" s="2" t="s">
        <v>333</v>
      </c>
      <c r="C351" s="2">
        <f>C341-C349-C350</f>
        <v>5600000</v>
      </c>
    </row>
    <row r="352" spans="2:10">
      <c r="B352" s="2" t="s">
        <v>45</v>
      </c>
      <c r="C352" s="82">
        <f>C340-C351</f>
        <v>4400000</v>
      </c>
    </row>
    <row r="354" spans="2:10" ht="19.5" thickBot="1"/>
    <row r="355" spans="2:10" ht="68.25" customHeight="1" thickBot="1">
      <c r="B355" s="145" t="s">
        <v>591</v>
      </c>
      <c r="C355" s="146"/>
      <c r="D355" s="146"/>
      <c r="E355" s="146"/>
      <c r="F355" s="146"/>
      <c r="G355" s="146"/>
      <c r="H355" s="146"/>
      <c r="I355" s="146"/>
      <c r="J355" s="147"/>
    </row>
    <row r="357" spans="2:10">
      <c r="B357" s="2" t="s">
        <v>32</v>
      </c>
      <c r="C357" s="2">
        <v>10000000</v>
      </c>
    </row>
    <row r="358" spans="2:10">
      <c r="B358" s="2" t="s">
        <v>45</v>
      </c>
      <c r="C358" s="2">
        <v>2000000</v>
      </c>
    </row>
    <row r="359" spans="2:10">
      <c r="B359" s="2" t="s">
        <v>43</v>
      </c>
      <c r="C359" s="95">
        <v>0.3</v>
      </c>
    </row>
    <row r="360" spans="2:10">
      <c r="B360" s="14" t="s">
        <v>35</v>
      </c>
      <c r="C360" s="2"/>
    </row>
    <row r="361" spans="2:10">
      <c r="B361" s="2" t="s">
        <v>592</v>
      </c>
      <c r="C361" s="2">
        <f>C357*(1+C359)</f>
        <v>13000000</v>
      </c>
    </row>
    <row r="362" spans="2:10">
      <c r="B362" s="2" t="s">
        <v>593</v>
      </c>
      <c r="C362" s="82">
        <f>C358+C361</f>
        <v>15000000</v>
      </c>
    </row>
    <row r="364" spans="2:10" ht="19.5" thickBot="1"/>
    <row r="365" spans="2:10" ht="60" customHeight="1" thickBot="1">
      <c r="B365" s="145" t="s">
        <v>667</v>
      </c>
      <c r="C365" s="146"/>
      <c r="D365" s="146"/>
      <c r="E365" s="146"/>
      <c r="F365" s="146"/>
      <c r="G365" s="146"/>
      <c r="H365" s="146"/>
      <c r="I365" s="146"/>
      <c r="J365" s="147"/>
    </row>
    <row r="367" spans="2:10">
      <c r="B367" s="2" t="s">
        <v>32</v>
      </c>
      <c r="C367" s="2">
        <v>500000</v>
      </c>
    </row>
    <row r="368" spans="2:10">
      <c r="B368" s="2" t="s">
        <v>21</v>
      </c>
      <c r="C368" s="2">
        <v>50</v>
      </c>
    </row>
    <row r="369" spans="2:3">
      <c r="B369" s="2" t="s">
        <v>20</v>
      </c>
      <c r="C369" s="2">
        <v>20</v>
      </c>
    </row>
    <row r="370" spans="2:3">
      <c r="B370" s="2" t="s">
        <v>594</v>
      </c>
      <c r="C370" s="2">
        <v>25</v>
      </c>
    </row>
    <row r="371" spans="2:3">
      <c r="B371" s="14" t="s">
        <v>35</v>
      </c>
      <c r="C371" s="2"/>
    </row>
    <row r="372" spans="2:3">
      <c r="B372" s="2" t="s">
        <v>284</v>
      </c>
      <c r="C372" s="95">
        <f>C369/C368</f>
        <v>0.4</v>
      </c>
    </row>
    <row r="373" spans="2:3">
      <c r="B373" s="2" t="s">
        <v>284</v>
      </c>
      <c r="C373" s="82">
        <f>C367*C372</f>
        <v>200000</v>
      </c>
    </row>
  </sheetData>
  <mergeCells count="20">
    <mergeCell ref="B355:J355"/>
    <mergeCell ref="B365:J365"/>
    <mergeCell ref="B190:J190"/>
    <mergeCell ref="B311:J311"/>
    <mergeCell ref="B255:J255"/>
    <mergeCell ref="B337:J337"/>
    <mergeCell ref="B73:J73"/>
    <mergeCell ref="B267:J267"/>
    <mergeCell ref="B322:J322"/>
    <mergeCell ref="B116:J116"/>
    <mergeCell ref="B139:J139"/>
    <mergeCell ref="B151:J151"/>
    <mergeCell ref="B168:J168"/>
    <mergeCell ref="B203:J203"/>
    <mergeCell ref="C75:J75"/>
    <mergeCell ref="B62:J62"/>
    <mergeCell ref="B2:J2"/>
    <mergeCell ref="B19:J19"/>
    <mergeCell ref="B28:J28"/>
    <mergeCell ref="B44:J44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1390-1FDE-4F71-B235-E9FA436961E9}">
  <dimension ref="A1:J478"/>
  <sheetViews>
    <sheetView zoomScale="115" zoomScaleNormal="115" workbookViewId="0"/>
  </sheetViews>
  <sheetFormatPr defaultColWidth="9.140625" defaultRowHeight="18.75"/>
  <cols>
    <col min="1" max="1" width="4.42578125" style="1" customWidth="1"/>
    <col min="2" max="2" width="45.140625" style="1" bestFit="1" customWidth="1"/>
    <col min="3" max="10" width="18.140625" style="1" customWidth="1"/>
    <col min="11" max="16384" width="9.140625" style="1"/>
  </cols>
  <sheetData>
    <row r="1" spans="2:10" ht="19.5" thickBot="1"/>
    <row r="2" spans="2:10" ht="85.5" customHeight="1" thickBot="1">
      <c r="B2" s="145" t="s">
        <v>668</v>
      </c>
      <c r="C2" s="146"/>
      <c r="D2" s="146"/>
      <c r="E2" s="146"/>
      <c r="F2" s="146"/>
      <c r="G2" s="146"/>
      <c r="H2" s="146"/>
      <c r="I2" s="146"/>
      <c r="J2" s="147"/>
    </row>
    <row r="5" spans="2:10">
      <c r="B5" s="2" t="s">
        <v>130</v>
      </c>
      <c r="C5" s="2">
        <v>1000000</v>
      </c>
    </row>
    <row r="6" spans="2:10">
      <c r="B6" s="2" t="s">
        <v>131</v>
      </c>
      <c r="C6" s="2">
        <v>50</v>
      </c>
    </row>
    <row r="7" spans="2:10">
      <c r="B7" s="2" t="s">
        <v>132</v>
      </c>
      <c r="C7" s="2">
        <v>8000</v>
      </c>
    </row>
    <row r="8" spans="2:10">
      <c r="B8" s="2" t="s">
        <v>133</v>
      </c>
      <c r="C8" s="2">
        <v>150000</v>
      </c>
    </row>
    <row r="9" spans="2:10">
      <c r="B9" s="14" t="s">
        <v>35</v>
      </c>
      <c r="C9" s="2"/>
    </row>
    <row r="10" spans="2:10">
      <c r="B10" s="2" t="s">
        <v>134</v>
      </c>
      <c r="C10" s="2">
        <f>C7*C6</f>
        <v>400000</v>
      </c>
    </row>
    <row r="11" spans="2:10">
      <c r="B11" s="2" t="s">
        <v>135</v>
      </c>
      <c r="C11" s="82">
        <f>C5-C10-C8</f>
        <v>450000</v>
      </c>
      <c r="D11" s="90" t="s">
        <v>537</v>
      </c>
    </row>
    <row r="13" spans="2:10" ht="19.5" thickBot="1"/>
    <row r="14" spans="2:10" ht="39" customHeight="1" thickBot="1">
      <c r="B14" s="145" t="s">
        <v>136</v>
      </c>
      <c r="C14" s="146"/>
      <c r="D14" s="146"/>
      <c r="E14" s="146"/>
      <c r="F14" s="146"/>
      <c r="G14" s="146"/>
      <c r="H14" s="146"/>
      <c r="I14" s="146"/>
      <c r="J14" s="147"/>
    </row>
    <row r="17" spans="2:10">
      <c r="B17" s="2" t="s">
        <v>137</v>
      </c>
      <c r="C17" s="2">
        <v>1300000</v>
      </c>
    </row>
    <row r="18" spans="2:10">
      <c r="B18" s="2" t="s">
        <v>138</v>
      </c>
      <c r="C18" s="2">
        <v>900000</v>
      </c>
    </row>
    <row r="19" spans="2:10">
      <c r="B19" s="2" t="s">
        <v>139</v>
      </c>
      <c r="C19" s="2">
        <v>8400000</v>
      </c>
    </row>
    <row r="20" spans="2:10">
      <c r="B20" s="14" t="s">
        <v>35</v>
      </c>
      <c r="C20" s="2"/>
    </row>
    <row r="21" spans="2:10">
      <c r="B21" s="2" t="s">
        <v>140</v>
      </c>
      <c r="C21" s="18">
        <f>C18/C19</f>
        <v>0.10714285714285714</v>
      </c>
    </row>
    <row r="22" spans="2:10">
      <c r="B22" s="2" t="s">
        <v>65</v>
      </c>
      <c r="C22" s="82">
        <f>C17/C21</f>
        <v>12133333.333333334</v>
      </c>
    </row>
    <row r="25" spans="2:10">
      <c r="B25" s="90" t="s">
        <v>567</v>
      </c>
    </row>
    <row r="26" spans="2:10">
      <c r="B26" s="90" t="s">
        <v>538</v>
      </c>
    </row>
    <row r="28" spans="2:10" ht="19.5" thickBot="1"/>
    <row r="29" spans="2:10" ht="40.5" customHeight="1" thickBot="1">
      <c r="B29" s="145" t="s">
        <v>141</v>
      </c>
      <c r="C29" s="146"/>
      <c r="D29" s="146"/>
      <c r="E29" s="146"/>
      <c r="F29" s="146"/>
      <c r="G29" s="146"/>
      <c r="H29" s="146"/>
      <c r="I29" s="146"/>
      <c r="J29" s="147"/>
    </row>
    <row r="32" spans="2:10">
      <c r="B32" s="2" t="s">
        <v>142</v>
      </c>
      <c r="C32" s="2">
        <v>50</v>
      </c>
    </row>
    <row r="33" spans="2:10">
      <c r="B33" s="2" t="s">
        <v>143</v>
      </c>
      <c r="C33" s="2">
        <v>70</v>
      </c>
    </row>
    <row r="34" spans="2:10">
      <c r="B34" s="14" t="s">
        <v>35</v>
      </c>
      <c r="C34" s="2"/>
    </row>
    <row r="35" spans="2:10">
      <c r="B35" s="2" t="s">
        <v>144</v>
      </c>
      <c r="C35" s="2">
        <f>500-2*C32</f>
        <v>400</v>
      </c>
      <c r="D35" s="90" t="s">
        <v>540</v>
      </c>
    </row>
    <row r="36" spans="2:10">
      <c r="B36" s="2" t="s">
        <v>145</v>
      </c>
      <c r="C36" s="2">
        <f>500-2*C33</f>
        <v>360</v>
      </c>
      <c r="D36" s="90" t="s">
        <v>541</v>
      </c>
    </row>
    <row r="37" spans="2:10">
      <c r="B37" s="2" t="s">
        <v>147</v>
      </c>
      <c r="C37" s="2">
        <f>C35/C36</f>
        <v>1.1111111111111112</v>
      </c>
      <c r="D37" s="90" t="s">
        <v>539</v>
      </c>
    </row>
    <row r="38" spans="2:10">
      <c r="B38" s="2" t="s">
        <v>146</v>
      </c>
      <c r="C38" s="85">
        <f>C35/C36-1</f>
        <v>0.11111111111111116</v>
      </c>
      <c r="D38" s="90" t="s">
        <v>542</v>
      </c>
    </row>
    <row r="40" spans="2:10" ht="19.5" thickBot="1"/>
    <row r="41" spans="2:10" ht="19.5" thickBot="1">
      <c r="B41" s="145" t="s">
        <v>148</v>
      </c>
      <c r="C41" s="146"/>
      <c r="D41" s="146"/>
      <c r="E41" s="146"/>
      <c r="F41" s="146"/>
      <c r="G41" s="146"/>
      <c r="H41" s="146"/>
      <c r="I41" s="146"/>
      <c r="J41" s="147"/>
    </row>
    <row r="44" spans="2:10">
      <c r="B44" s="2" t="s">
        <v>149</v>
      </c>
      <c r="C44" s="2">
        <v>6</v>
      </c>
    </row>
    <row r="45" spans="2:10">
      <c r="B45" s="2" t="s">
        <v>150</v>
      </c>
      <c r="C45" s="5">
        <v>0.02</v>
      </c>
    </row>
    <row r="46" spans="2:10">
      <c r="B46" s="2" t="s">
        <v>146</v>
      </c>
      <c r="C46" s="85">
        <f>(1+C45)^C44-1</f>
        <v>0.12616241926400007</v>
      </c>
      <c r="D46" s="90" t="s">
        <v>543</v>
      </c>
    </row>
    <row r="48" spans="2:10" ht="19.5" thickBot="1"/>
    <row r="49" spans="2:10" ht="19.5" thickBot="1">
      <c r="B49" s="145" t="s">
        <v>494</v>
      </c>
      <c r="C49" s="146"/>
      <c r="D49" s="146"/>
      <c r="E49" s="146"/>
      <c r="F49" s="146"/>
      <c r="G49" s="146"/>
      <c r="H49" s="146"/>
      <c r="I49" s="146"/>
      <c r="J49" s="147"/>
    </row>
    <row r="52" spans="2:10">
      <c r="B52" s="2" t="s">
        <v>495</v>
      </c>
      <c r="C52" s="2">
        <v>1000</v>
      </c>
    </row>
    <row r="53" spans="2:10">
      <c r="B53" s="2" t="s">
        <v>428</v>
      </c>
      <c r="C53" s="2">
        <v>1.5</v>
      </c>
    </row>
    <row r="54" spans="2:10">
      <c r="B54" s="2" t="s">
        <v>429</v>
      </c>
      <c r="C54" s="2">
        <v>3.45</v>
      </c>
    </row>
    <row r="55" spans="2:10">
      <c r="B55" s="14" t="s">
        <v>35</v>
      </c>
      <c r="C55" s="2"/>
    </row>
    <row r="56" spans="2:10">
      <c r="B56" s="2" t="s">
        <v>466</v>
      </c>
      <c r="C56" s="2">
        <f>C53*C54</f>
        <v>5.1750000000000007</v>
      </c>
      <c r="D56" s="90" t="s">
        <v>497</v>
      </c>
    </row>
    <row r="57" spans="2:10">
      <c r="B57" s="2" t="s">
        <v>496</v>
      </c>
      <c r="C57" s="82">
        <f>C52*C56</f>
        <v>5175.0000000000009</v>
      </c>
    </row>
    <row r="59" spans="2:10" ht="19.5" thickBot="1"/>
    <row r="60" spans="2:10" ht="99.75" customHeight="1" thickBot="1">
      <c r="B60" s="145" t="s">
        <v>672</v>
      </c>
      <c r="C60" s="146"/>
      <c r="D60" s="146"/>
      <c r="E60" s="146"/>
      <c r="F60" s="146"/>
      <c r="G60" s="146"/>
      <c r="H60" s="146"/>
      <c r="I60" s="146"/>
      <c r="J60" s="147"/>
    </row>
    <row r="63" spans="2:10" ht="19.5" thickBot="1">
      <c r="B63" s="1" t="s">
        <v>209</v>
      </c>
    </row>
    <row r="64" spans="2:10" ht="19.5" thickBot="1">
      <c r="B64" s="29" t="s">
        <v>210</v>
      </c>
      <c r="C64" s="30" t="s">
        <v>153</v>
      </c>
      <c r="D64" s="30" t="s">
        <v>211</v>
      </c>
      <c r="E64" s="30" t="s">
        <v>212</v>
      </c>
      <c r="F64" s="31" t="s">
        <v>213</v>
      </c>
    </row>
    <row r="65" spans="2:6">
      <c r="B65" s="32" t="s">
        <v>214</v>
      </c>
      <c r="C65" s="33" t="s">
        <v>215</v>
      </c>
      <c r="D65" s="33" t="s">
        <v>215</v>
      </c>
      <c r="E65" s="33" t="s">
        <v>216</v>
      </c>
      <c r="F65" s="34" t="s">
        <v>215</v>
      </c>
    </row>
    <row r="66" spans="2:6">
      <c r="B66" s="35" t="s">
        <v>217</v>
      </c>
      <c r="C66" s="3">
        <v>2</v>
      </c>
      <c r="D66" s="3">
        <v>2</v>
      </c>
      <c r="E66" s="3">
        <v>3</v>
      </c>
      <c r="F66" s="36">
        <v>2</v>
      </c>
    </row>
    <row r="67" spans="2:6">
      <c r="B67" s="35" t="s">
        <v>218</v>
      </c>
      <c r="C67" s="19" t="s">
        <v>219</v>
      </c>
      <c r="D67" s="19" t="s">
        <v>219</v>
      </c>
      <c r="E67" s="19" t="s">
        <v>220</v>
      </c>
      <c r="F67" s="37" t="s">
        <v>219</v>
      </c>
    </row>
    <row r="68" spans="2:6">
      <c r="B68" s="35" t="s">
        <v>185</v>
      </c>
      <c r="C68" s="19" t="s">
        <v>221</v>
      </c>
      <c r="D68" s="19" t="s">
        <v>221</v>
      </c>
      <c r="E68" s="19" t="s">
        <v>221</v>
      </c>
      <c r="F68" s="37" t="s">
        <v>222</v>
      </c>
    </row>
    <row r="69" spans="2:6">
      <c r="B69" s="35" t="s">
        <v>223</v>
      </c>
      <c r="C69" s="3">
        <v>3</v>
      </c>
      <c r="D69" s="3">
        <v>3</v>
      </c>
      <c r="E69" s="3">
        <v>3</v>
      </c>
      <c r="F69" s="36">
        <v>1</v>
      </c>
    </row>
    <row r="70" spans="2:6">
      <c r="B70" s="35" t="s">
        <v>224</v>
      </c>
      <c r="C70" s="2"/>
      <c r="D70" s="2">
        <v>170000</v>
      </c>
      <c r="E70" s="2">
        <v>170000</v>
      </c>
      <c r="F70" s="38">
        <v>120000</v>
      </c>
    </row>
    <row r="71" spans="2:6">
      <c r="B71" s="35" t="s">
        <v>225</v>
      </c>
      <c r="C71" s="2"/>
      <c r="D71" s="2"/>
      <c r="E71" s="2"/>
      <c r="F71" s="38"/>
    </row>
    <row r="72" spans="2:6">
      <c r="B72" s="35" t="s">
        <v>226</v>
      </c>
      <c r="C72" s="2"/>
      <c r="D72" s="2"/>
      <c r="E72" s="2"/>
      <c r="F72" s="38"/>
    </row>
    <row r="73" spans="2:6">
      <c r="B73" s="35" t="s">
        <v>227</v>
      </c>
      <c r="C73" s="2"/>
      <c r="D73" s="2"/>
      <c r="E73" s="2"/>
      <c r="F73" s="38"/>
    </row>
    <row r="74" spans="2:6">
      <c r="B74" s="35" t="s">
        <v>228</v>
      </c>
      <c r="C74" s="2"/>
      <c r="D74" s="2"/>
      <c r="E74" s="2"/>
      <c r="F74" s="38"/>
    </row>
    <row r="75" spans="2:6">
      <c r="B75" s="35" t="s">
        <v>229</v>
      </c>
      <c r="C75" s="2"/>
      <c r="D75" s="2"/>
      <c r="E75" s="2"/>
      <c r="F75" s="38"/>
    </row>
    <row r="76" spans="2:6">
      <c r="B76" s="35" t="s">
        <v>230</v>
      </c>
      <c r="C76" s="2"/>
      <c r="D76" s="2"/>
      <c r="E76" s="2"/>
      <c r="F76" s="38"/>
    </row>
    <row r="77" spans="2:6" ht="19.5" thickBot="1">
      <c r="B77" s="39" t="s">
        <v>231</v>
      </c>
      <c r="C77" s="40"/>
      <c r="D77" s="40"/>
      <c r="E77" s="40"/>
      <c r="F77" s="41"/>
    </row>
    <row r="80" spans="2:6" ht="19.5" thickBot="1">
      <c r="B80" s="1" t="s">
        <v>232</v>
      </c>
    </row>
    <row r="81" spans="2:5" ht="38.25" thickBot="1">
      <c r="B81" s="42" t="s">
        <v>233</v>
      </c>
      <c r="C81" s="125" t="s">
        <v>234</v>
      </c>
      <c r="D81" s="126" t="s">
        <v>235</v>
      </c>
    </row>
    <row r="82" spans="2:5">
      <c r="B82" s="127" t="s">
        <v>221</v>
      </c>
      <c r="C82" s="45">
        <v>181500</v>
      </c>
      <c r="D82" s="46">
        <v>165000</v>
      </c>
    </row>
    <row r="83" spans="2:5">
      <c r="B83" s="128" t="s">
        <v>236</v>
      </c>
      <c r="C83" s="3">
        <v>169400</v>
      </c>
      <c r="D83" s="36">
        <v>154000</v>
      </c>
    </row>
    <row r="84" spans="2:5" ht="19.5" thickBot="1">
      <c r="B84" s="129" t="s">
        <v>222</v>
      </c>
      <c r="C84" s="47">
        <v>154000</v>
      </c>
      <c r="D84" s="48">
        <v>140000</v>
      </c>
    </row>
    <row r="87" spans="2:5" ht="19.5" thickBot="1">
      <c r="B87" s="1" t="s">
        <v>237</v>
      </c>
    </row>
    <row r="88" spans="2:5" ht="38.25" thickBot="1">
      <c r="B88" s="42" t="s">
        <v>218</v>
      </c>
      <c r="C88" s="44" t="s">
        <v>238</v>
      </c>
    </row>
    <row r="89" spans="2:5">
      <c r="B89" s="32" t="s">
        <v>219</v>
      </c>
      <c r="C89" s="46">
        <v>152000</v>
      </c>
    </row>
    <row r="90" spans="2:5">
      <c r="B90" s="35" t="s">
        <v>220</v>
      </c>
      <c r="C90" s="36">
        <v>160000</v>
      </c>
    </row>
    <row r="91" spans="2:5" ht="19.5" thickBot="1">
      <c r="B91" s="39" t="s">
        <v>239</v>
      </c>
      <c r="C91" s="48">
        <v>193000</v>
      </c>
    </row>
    <row r="94" spans="2:5" ht="19.5" thickBot="1">
      <c r="B94" s="1" t="s">
        <v>240</v>
      </c>
    </row>
    <row r="95" spans="2:5" ht="94.5" thickBot="1">
      <c r="B95" s="42" t="s">
        <v>241</v>
      </c>
      <c r="C95" s="44" t="s">
        <v>242</v>
      </c>
      <c r="E95" s="98" t="s">
        <v>493</v>
      </c>
    </row>
    <row r="96" spans="2:5">
      <c r="B96" s="32" t="s">
        <v>243</v>
      </c>
      <c r="C96" s="49">
        <v>-0.1</v>
      </c>
      <c r="D96" s="70"/>
      <c r="E96" s="99">
        <f>1*(1-15%)*(1-10%)</f>
        <v>0.76500000000000001</v>
      </c>
    </row>
    <row r="97" spans="2:5">
      <c r="B97" s="35" t="s">
        <v>244</v>
      </c>
      <c r="C97" s="50">
        <v>-0.15</v>
      </c>
      <c r="E97" s="99">
        <f>1*(1-15%)</f>
        <v>0.85</v>
      </c>
    </row>
    <row r="98" spans="2:5" ht="19.5" thickBot="1">
      <c r="B98" s="39" t="s">
        <v>245</v>
      </c>
      <c r="C98" s="51">
        <v>0</v>
      </c>
      <c r="E98" s="99">
        <v>1</v>
      </c>
    </row>
    <row r="101" spans="2:5" ht="19.5" thickBot="1">
      <c r="B101" s="1" t="s">
        <v>246</v>
      </c>
    </row>
    <row r="102" spans="2:5" ht="75.75" thickBot="1">
      <c r="B102" s="42" t="s">
        <v>217</v>
      </c>
      <c r="C102" s="44" t="s">
        <v>247</v>
      </c>
    </row>
    <row r="103" spans="2:5">
      <c r="B103" s="52">
        <v>1</v>
      </c>
      <c r="C103" s="49">
        <v>0</v>
      </c>
    </row>
    <row r="104" spans="2:5">
      <c r="B104" s="53">
        <v>2</v>
      </c>
      <c r="C104" s="50">
        <v>-0.05</v>
      </c>
    </row>
    <row r="105" spans="2:5" ht="19.5" thickBot="1">
      <c r="B105" s="54">
        <v>3</v>
      </c>
      <c r="C105" s="51">
        <v>-0.1</v>
      </c>
    </row>
    <row r="112" spans="2:5" ht="19.5" thickBot="1"/>
    <row r="113" spans="2:10" ht="19.5" thickBot="1">
      <c r="B113" s="55" t="s">
        <v>210</v>
      </c>
      <c r="C113" s="56" t="s">
        <v>153</v>
      </c>
      <c r="D113" s="56" t="s">
        <v>211</v>
      </c>
      <c r="E113" s="56" t="s">
        <v>212</v>
      </c>
      <c r="F113" s="57" t="s">
        <v>213</v>
      </c>
    </row>
    <row r="114" spans="2:10">
      <c r="B114" s="58" t="s">
        <v>248</v>
      </c>
      <c r="C114" s="59"/>
      <c r="D114" s="60">
        <v>-7.0000000000000007E-2</v>
      </c>
      <c r="E114" s="60">
        <v>-7.0000000000000007E-2</v>
      </c>
      <c r="F114" s="61">
        <v>-7.0000000000000007E-2</v>
      </c>
    </row>
    <row r="115" spans="2:10">
      <c r="B115" s="62" t="s">
        <v>249</v>
      </c>
      <c r="C115" s="63"/>
      <c r="D115" s="64">
        <f>1+D114</f>
        <v>0.92999999999999994</v>
      </c>
      <c r="E115" s="64">
        <f t="shared" ref="E115:F115" si="0">1+E114</f>
        <v>0.92999999999999994</v>
      </c>
      <c r="F115" s="65">
        <f t="shared" si="0"/>
        <v>0.92999999999999994</v>
      </c>
    </row>
    <row r="116" spans="2:10">
      <c r="B116" s="66" t="s">
        <v>250</v>
      </c>
      <c r="C116" s="17" t="s">
        <v>251</v>
      </c>
      <c r="D116" s="17" t="s">
        <v>251</v>
      </c>
      <c r="E116" s="17" t="s">
        <v>252</v>
      </c>
      <c r="F116" s="67" t="s">
        <v>251</v>
      </c>
    </row>
    <row r="117" spans="2:10">
      <c r="B117" s="62" t="s">
        <v>253</v>
      </c>
      <c r="C117" s="17">
        <v>181500</v>
      </c>
      <c r="D117" s="17"/>
      <c r="E117" s="17">
        <v>165000</v>
      </c>
      <c r="F117" s="67"/>
    </row>
    <row r="118" spans="2:10">
      <c r="B118" s="62" t="s">
        <v>254</v>
      </c>
      <c r="C118" s="63"/>
      <c r="D118" s="64">
        <v>1</v>
      </c>
      <c r="E118" s="64">
        <f>C117/E117</f>
        <v>1.1000000000000001</v>
      </c>
      <c r="F118" s="65">
        <v>1</v>
      </c>
      <c r="G118" s="68" t="s">
        <v>255</v>
      </c>
      <c r="H118" s="21" t="s">
        <v>146</v>
      </c>
      <c r="I118" s="21" t="s">
        <v>256</v>
      </c>
    </row>
    <row r="119" spans="2:10">
      <c r="B119" s="66" t="s">
        <v>257</v>
      </c>
      <c r="C119" s="16">
        <v>2</v>
      </c>
      <c r="D119" s="16">
        <v>2</v>
      </c>
      <c r="E119" s="16">
        <v>3</v>
      </c>
      <c r="F119" s="69">
        <v>2</v>
      </c>
      <c r="G119" s="20">
        <v>1</v>
      </c>
      <c r="H119" s="10">
        <v>0</v>
      </c>
      <c r="I119" s="1">
        <v>1</v>
      </c>
    </row>
    <row r="120" spans="2:10">
      <c r="B120" s="62" t="s">
        <v>253</v>
      </c>
      <c r="C120" s="17">
        <v>0.95</v>
      </c>
      <c r="D120" s="17"/>
      <c r="E120" s="17">
        <v>0.9</v>
      </c>
      <c r="F120" s="67"/>
      <c r="G120" s="20">
        <v>2</v>
      </c>
      <c r="H120" s="10">
        <v>-0.05</v>
      </c>
      <c r="I120" s="1">
        <f>I119*(1+H120)</f>
        <v>0.95</v>
      </c>
    </row>
    <row r="121" spans="2:10">
      <c r="B121" s="62" t="s">
        <v>258</v>
      </c>
      <c r="C121" s="63"/>
      <c r="D121" s="64">
        <v>1</v>
      </c>
      <c r="E121" s="64">
        <f>C120/E120</f>
        <v>1.0555555555555556</v>
      </c>
      <c r="F121" s="65">
        <v>1</v>
      </c>
      <c r="G121" s="20">
        <v>3</v>
      </c>
      <c r="H121" s="10">
        <v>-0.1</v>
      </c>
      <c r="I121" s="1">
        <f>I119*(1+H121)</f>
        <v>0.9</v>
      </c>
    </row>
    <row r="122" spans="2:10">
      <c r="B122" s="66" t="s">
        <v>259</v>
      </c>
      <c r="C122" s="17" t="s">
        <v>219</v>
      </c>
      <c r="D122" s="17" t="s">
        <v>219</v>
      </c>
      <c r="E122" s="17" t="s">
        <v>220</v>
      </c>
      <c r="F122" s="67" t="s">
        <v>219</v>
      </c>
    </row>
    <row r="123" spans="2:10">
      <c r="B123" s="62" t="s">
        <v>253</v>
      </c>
      <c r="C123" s="17">
        <v>152000</v>
      </c>
      <c r="D123" s="17"/>
      <c r="E123" s="17">
        <v>160000</v>
      </c>
      <c r="F123" s="67"/>
    </row>
    <row r="124" spans="2:10">
      <c r="B124" s="62" t="s">
        <v>260</v>
      </c>
      <c r="C124" s="63"/>
      <c r="D124" s="64">
        <v>1</v>
      </c>
      <c r="E124" s="64">
        <f>C123/E123</f>
        <v>0.95</v>
      </c>
      <c r="F124" s="65">
        <v>1</v>
      </c>
    </row>
    <row r="125" spans="2:10">
      <c r="B125" s="66" t="s">
        <v>544</v>
      </c>
      <c r="C125" s="17" t="s">
        <v>221</v>
      </c>
      <c r="D125" s="17" t="s">
        <v>221</v>
      </c>
      <c r="E125" s="17" t="s">
        <v>221</v>
      </c>
      <c r="F125" s="67" t="s">
        <v>222</v>
      </c>
    </row>
    <row r="126" spans="2:10">
      <c r="B126" s="62" t="s">
        <v>253</v>
      </c>
      <c r="C126" s="17">
        <v>181500</v>
      </c>
      <c r="D126" s="17"/>
      <c r="E126" s="17"/>
      <c r="F126" s="67">
        <v>154000</v>
      </c>
      <c r="G126" s="68" t="s">
        <v>241</v>
      </c>
      <c r="H126" s="21" t="s">
        <v>146</v>
      </c>
      <c r="I126" s="21" t="s">
        <v>256</v>
      </c>
    </row>
    <row r="127" spans="2:10">
      <c r="B127" s="62" t="s">
        <v>262</v>
      </c>
      <c r="C127" s="63"/>
      <c r="D127" s="64">
        <v>1</v>
      </c>
      <c r="E127" s="64">
        <v>1</v>
      </c>
      <c r="F127" s="65">
        <f>C126/F126</f>
        <v>1.1785714285714286</v>
      </c>
      <c r="G127" s="20">
        <v>1</v>
      </c>
      <c r="H127" s="10">
        <v>-0.1</v>
      </c>
      <c r="I127" s="70">
        <f>I128*(1+H127)</f>
        <v>0.76500000000000001</v>
      </c>
      <c r="J127" s="70"/>
    </row>
    <row r="128" spans="2:10">
      <c r="B128" s="66" t="s">
        <v>263</v>
      </c>
      <c r="C128" s="16">
        <v>3</v>
      </c>
      <c r="D128" s="16">
        <v>3</v>
      </c>
      <c r="E128" s="16">
        <v>3</v>
      </c>
      <c r="F128" s="69">
        <v>1</v>
      </c>
      <c r="G128" s="20">
        <v>2</v>
      </c>
      <c r="H128" s="10">
        <v>-0.15</v>
      </c>
      <c r="I128" s="1">
        <f>I129*(1+H128)</f>
        <v>0.85</v>
      </c>
    </row>
    <row r="129" spans="2:9">
      <c r="B129" s="62" t="s">
        <v>253</v>
      </c>
      <c r="C129" s="17">
        <v>1</v>
      </c>
      <c r="D129" s="17"/>
      <c r="E129" s="17"/>
      <c r="F129" s="67">
        <f>I127</f>
        <v>0.76500000000000001</v>
      </c>
      <c r="G129" s="20">
        <v>3</v>
      </c>
      <c r="H129" s="10">
        <v>0</v>
      </c>
      <c r="I129" s="1">
        <v>1</v>
      </c>
    </row>
    <row r="130" spans="2:9">
      <c r="B130" s="62" t="s">
        <v>264</v>
      </c>
      <c r="C130" s="63"/>
      <c r="D130" s="64">
        <v>1</v>
      </c>
      <c r="E130" s="64">
        <v>1</v>
      </c>
      <c r="F130" s="65">
        <f>C129/F129</f>
        <v>1.3071895424836601</v>
      </c>
    </row>
    <row r="131" spans="2:9">
      <c r="B131" s="35" t="s">
        <v>265</v>
      </c>
      <c r="C131" s="17"/>
      <c r="D131" s="17">
        <f>D115*D118*D121*D124*D127*D130</f>
        <v>0.92999999999999994</v>
      </c>
      <c r="E131" s="17">
        <f>E115*E118*E121*E124*E127*E130</f>
        <v>1.0258416666666665</v>
      </c>
      <c r="F131" s="67">
        <f>F115*F118*F121*F124*F127*F130</f>
        <v>1.4327731092436975</v>
      </c>
    </row>
    <row r="132" spans="2:9">
      <c r="B132" s="35" t="s">
        <v>266</v>
      </c>
      <c r="C132" s="17"/>
      <c r="D132" s="17">
        <v>170000</v>
      </c>
      <c r="E132" s="17">
        <v>170000</v>
      </c>
      <c r="F132" s="67">
        <v>120000</v>
      </c>
    </row>
    <row r="133" spans="2:9">
      <c r="B133" s="35" t="s">
        <v>179</v>
      </c>
      <c r="C133" s="17"/>
      <c r="D133" s="17">
        <f>D131*D132</f>
        <v>158100</v>
      </c>
      <c r="E133" s="17">
        <f>E131*E132</f>
        <v>174393.08333333331</v>
      </c>
      <c r="F133" s="67">
        <f>F131*F132</f>
        <v>171932.77310924369</v>
      </c>
    </row>
    <row r="134" spans="2:9">
      <c r="B134" s="35" t="s">
        <v>267</v>
      </c>
      <c r="C134" s="17"/>
      <c r="D134" s="137">
        <f>1/3</f>
        <v>0.33333333333333331</v>
      </c>
      <c r="E134" s="17">
        <f>1/3</f>
        <v>0.33333333333333331</v>
      </c>
      <c r="F134" s="67">
        <f>1/3</f>
        <v>0.33333333333333331</v>
      </c>
    </row>
    <row r="135" spans="2:9">
      <c r="B135" s="35"/>
      <c r="C135" s="17">
        <f>D135+E135+F135</f>
        <v>168141.95214752568</v>
      </c>
      <c r="D135" s="17">
        <f>D133*D134</f>
        <v>52700</v>
      </c>
      <c r="E135" s="17">
        <f>E133*E134</f>
        <v>58131.027777777766</v>
      </c>
      <c r="F135" s="67">
        <f>F133*F134</f>
        <v>57310.924369747896</v>
      </c>
    </row>
    <row r="136" spans="2:9">
      <c r="B136" s="35"/>
      <c r="C136" s="17" t="s">
        <v>268</v>
      </c>
      <c r="D136" s="17"/>
      <c r="E136" s="17"/>
      <c r="F136" s="67"/>
    </row>
    <row r="137" spans="2:9">
      <c r="B137" s="35"/>
      <c r="C137" s="17">
        <f>(D133+E133+F133)/3</f>
        <v>168141.95214752565</v>
      </c>
      <c r="D137" s="17"/>
      <c r="E137" s="17"/>
      <c r="F137" s="67"/>
    </row>
    <row r="138" spans="2:9">
      <c r="B138" s="35"/>
      <c r="C138" s="17" t="s">
        <v>268</v>
      </c>
      <c r="D138" s="17"/>
      <c r="E138" s="17"/>
      <c r="F138" s="67"/>
    </row>
    <row r="139" spans="2:9">
      <c r="B139" s="35" t="s">
        <v>269</v>
      </c>
      <c r="C139" s="17">
        <f>AVERAGE(D133:F133)</f>
        <v>168141.95214752565</v>
      </c>
      <c r="D139" s="17"/>
      <c r="E139" s="17"/>
      <c r="F139" s="67"/>
    </row>
    <row r="140" spans="2:9">
      <c r="B140" s="35" t="s">
        <v>674</v>
      </c>
      <c r="C140" s="2">
        <v>60</v>
      </c>
      <c r="D140" s="2"/>
      <c r="E140" s="2"/>
      <c r="F140" s="38"/>
    </row>
    <row r="141" spans="2:9">
      <c r="B141" s="35" t="s">
        <v>80</v>
      </c>
      <c r="C141" s="2">
        <f>C139*C140</f>
        <v>10088517.128851539</v>
      </c>
      <c r="D141" s="2"/>
      <c r="E141" s="2"/>
      <c r="F141" s="38"/>
    </row>
    <row r="142" spans="2:9" ht="19.5" thickBot="1">
      <c r="B142" s="39" t="s">
        <v>270</v>
      </c>
      <c r="C142" s="86">
        <f>ROUND(C141,-4)</f>
        <v>10090000</v>
      </c>
      <c r="D142" s="40"/>
      <c r="E142" s="40"/>
      <c r="F142" s="41"/>
    </row>
    <row r="144" spans="2:9">
      <c r="B144" s="90" t="s">
        <v>673</v>
      </c>
    </row>
    <row r="147" spans="2:10" ht="19.5" thickBot="1"/>
    <row r="148" spans="2:10" ht="85.5" customHeight="1" thickBot="1">
      <c r="B148" s="145" t="s">
        <v>675</v>
      </c>
      <c r="C148" s="146"/>
      <c r="D148" s="146"/>
      <c r="E148" s="146"/>
      <c r="F148" s="146"/>
      <c r="G148" s="146"/>
      <c r="H148" s="146"/>
      <c r="I148" s="146"/>
      <c r="J148" s="147"/>
    </row>
    <row r="150" spans="2:10">
      <c r="B150" s="111" t="s">
        <v>676</v>
      </c>
    </row>
    <row r="152" spans="2:10">
      <c r="B152" s="2" t="s">
        <v>142</v>
      </c>
      <c r="C152" s="2">
        <v>1000</v>
      </c>
    </row>
    <row r="153" spans="2:10">
      <c r="B153" s="2" t="s">
        <v>151</v>
      </c>
      <c r="C153" s="2">
        <v>40000</v>
      </c>
    </row>
    <row r="154" spans="2:10">
      <c r="B154" s="14" t="s">
        <v>35</v>
      </c>
      <c r="C154" s="2"/>
    </row>
    <row r="155" spans="2:10">
      <c r="B155" s="2" t="s">
        <v>155</v>
      </c>
      <c r="C155" s="2">
        <f>C162/D162</f>
        <v>0.7</v>
      </c>
    </row>
    <row r="156" spans="2:10">
      <c r="B156" s="2" t="s">
        <v>156</v>
      </c>
      <c r="C156" s="2">
        <f>C153*C155</f>
        <v>28000</v>
      </c>
    </row>
    <row r="157" spans="2:10">
      <c r="B157" s="2" t="s">
        <v>157</v>
      </c>
      <c r="C157" s="2">
        <f>C156*C152</f>
        <v>28000000</v>
      </c>
    </row>
    <row r="158" spans="2:10">
      <c r="B158" s="2" t="s">
        <v>158</v>
      </c>
      <c r="C158" s="2">
        <v>50000</v>
      </c>
    </row>
    <row r="159" spans="2:10">
      <c r="B159" s="2" t="s">
        <v>159</v>
      </c>
      <c r="C159" s="82">
        <f>C157+C158</f>
        <v>28050000</v>
      </c>
    </row>
    <row r="161" spans="2:10" ht="19.5" thickBot="1">
      <c r="C161" s="23" t="s">
        <v>153</v>
      </c>
      <c r="D161" s="24" t="s">
        <v>154</v>
      </c>
    </row>
    <row r="162" spans="2:10">
      <c r="B162" s="1" t="s">
        <v>152</v>
      </c>
      <c r="C162" s="25">
        <v>0.7</v>
      </c>
      <c r="D162" s="21">
        <v>1</v>
      </c>
    </row>
    <row r="165" spans="2:10" ht="19.5" thickBot="1"/>
    <row r="166" spans="2:10" ht="114" customHeight="1" thickBot="1">
      <c r="B166" s="145" t="s">
        <v>164</v>
      </c>
      <c r="C166" s="146"/>
      <c r="D166" s="146"/>
      <c r="E166" s="146"/>
      <c r="F166" s="146"/>
      <c r="G166" s="146"/>
      <c r="H166" s="146"/>
      <c r="I166" s="146"/>
      <c r="J166" s="147"/>
    </row>
    <row r="169" spans="2:10">
      <c r="B169" s="2"/>
      <c r="C169" s="19" t="s">
        <v>160</v>
      </c>
      <c r="D169" s="19" t="s">
        <v>161</v>
      </c>
      <c r="E169" s="19" t="s">
        <v>162</v>
      </c>
      <c r="G169" s="138" t="s">
        <v>677</v>
      </c>
    </row>
    <row r="170" spans="2:10">
      <c r="B170" s="2" t="s">
        <v>163</v>
      </c>
      <c r="C170" s="2">
        <v>2200000</v>
      </c>
      <c r="D170" s="2">
        <v>1600000</v>
      </c>
      <c r="E170" s="13">
        <f>D170/C170-1</f>
        <v>-0.27272727272727271</v>
      </c>
      <c r="G170" s="138">
        <f>C170*(1+E170)</f>
        <v>1600000</v>
      </c>
    </row>
    <row r="171" spans="2:10">
      <c r="B171" s="2" t="s">
        <v>165</v>
      </c>
      <c r="C171" s="2">
        <v>600000</v>
      </c>
      <c r="D171" s="2">
        <v>600000</v>
      </c>
      <c r="E171" s="139">
        <f>D171/C171-1</f>
        <v>0</v>
      </c>
    </row>
    <row r="172" spans="2:10">
      <c r="B172" s="2" t="s">
        <v>166</v>
      </c>
      <c r="C172" s="2">
        <v>2000000</v>
      </c>
      <c r="D172" s="2">
        <v>1700000</v>
      </c>
      <c r="E172" s="13">
        <f>D172/C172-1</f>
        <v>-0.15000000000000002</v>
      </c>
    </row>
    <row r="173" spans="2:10">
      <c r="B173" s="2" t="s">
        <v>162</v>
      </c>
      <c r="C173" s="2"/>
      <c r="D173" s="2"/>
      <c r="E173" s="85">
        <f>(E170+E171+E172)/3</f>
        <v>-0.1409090909090909</v>
      </c>
      <c r="F173" s="90" t="s">
        <v>545</v>
      </c>
    </row>
    <row r="174" spans="2:10">
      <c r="E174" s="21" t="s">
        <v>268</v>
      </c>
    </row>
    <row r="175" spans="2:10">
      <c r="E175" s="115">
        <f>AVERAGE(E170:E172)</f>
        <v>-0.1409090909090909</v>
      </c>
    </row>
    <row r="177" spans="2:10" ht="19.5" thickBot="1"/>
    <row r="178" spans="2:10" ht="40.5" customHeight="1" thickBot="1">
      <c r="B178" s="145" t="s">
        <v>427</v>
      </c>
      <c r="C178" s="146"/>
      <c r="D178" s="146"/>
      <c r="E178" s="146"/>
      <c r="F178" s="146"/>
      <c r="G178" s="146"/>
      <c r="H178" s="146"/>
      <c r="I178" s="146"/>
      <c r="J178" s="147"/>
    </row>
    <row r="181" spans="2:10">
      <c r="B181" s="2" t="s">
        <v>428</v>
      </c>
      <c r="C181" s="2">
        <v>1.54</v>
      </c>
    </row>
    <row r="182" spans="2:10">
      <c r="B182" s="2" t="s">
        <v>429</v>
      </c>
      <c r="C182" s="2">
        <v>2.56</v>
      </c>
    </row>
    <row r="183" spans="2:10">
      <c r="B183" s="2" t="s">
        <v>430</v>
      </c>
      <c r="C183" s="2">
        <v>1000</v>
      </c>
    </row>
    <row r="184" spans="2:10">
      <c r="B184" s="14" t="s">
        <v>35</v>
      </c>
      <c r="C184" s="2"/>
    </row>
    <row r="185" spans="2:10">
      <c r="B185" s="2" t="s">
        <v>431</v>
      </c>
      <c r="C185" s="82">
        <f>C181*C182*C183</f>
        <v>3942.4</v>
      </c>
    </row>
    <row r="187" spans="2:10" ht="19.5" thickBot="1"/>
    <row r="188" spans="2:10" ht="119.25" customHeight="1" thickBot="1">
      <c r="B188" s="145" t="s">
        <v>678</v>
      </c>
      <c r="C188" s="146"/>
      <c r="D188" s="146"/>
      <c r="E188" s="146"/>
      <c r="F188" s="146"/>
      <c r="G188" s="146"/>
      <c r="H188" s="146"/>
      <c r="I188" s="146"/>
      <c r="J188" s="147"/>
    </row>
    <row r="191" spans="2:10">
      <c r="B191" s="90" t="s">
        <v>679</v>
      </c>
    </row>
    <row r="193" spans="1:5">
      <c r="A193" s="20"/>
      <c r="B193" s="26" t="s">
        <v>171</v>
      </c>
      <c r="C193" s="26" t="s">
        <v>172</v>
      </c>
      <c r="D193" s="26" t="s">
        <v>173</v>
      </c>
      <c r="E193" s="26" t="s">
        <v>174</v>
      </c>
    </row>
    <row r="194" spans="1:5">
      <c r="A194" s="20">
        <v>1</v>
      </c>
      <c r="B194" s="26" t="s">
        <v>167</v>
      </c>
      <c r="C194" s="17">
        <v>450000</v>
      </c>
      <c r="D194" s="17">
        <v>2</v>
      </c>
      <c r="E194" s="17" t="s">
        <v>175</v>
      </c>
    </row>
    <row r="195" spans="1:5">
      <c r="A195" s="20">
        <v>2</v>
      </c>
      <c r="B195" s="26" t="s">
        <v>680</v>
      </c>
      <c r="C195" s="17">
        <v>700000</v>
      </c>
      <c r="D195" s="17">
        <v>2.2000000000000002</v>
      </c>
      <c r="E195" s="17" t="s">
        <v>175</v>
      </c>
    </row>
    <row r="196" spans="1:5" ht="56.25">
      <c r="A196" s="20">
        <v>3</v>
      </c>
      <c r="B196" s="27" t="s">
        <v>169</v>
      </c>
      <c r="C196" s="17">
        <v>400000</v>
      </c>
      <c r="D196" s="17">
        <v>1.8</v>
      </c>
      <c r="E196" s="17" t="s">
        <v>176</v>
      </c>
    </row>
    <row r="197" spans="1:5" ht="56.25">
      <c r="A197" s="20">
        <v>4</v>
      </c>
      <c r="B197" s="27" t="s">
        <v>170</v>
      </c>
      <c r="C197" s="17">
        <v>500000</v>
      </c>
      <c r="D197" s="17">
        <v>1.8</v>
      </c>
      <c r="E197" s="17" t="s">
        <v>175</v>
      </c>
    </row>
    <row r="198" spans="1:5">
      <c r="A198" s="20">
        <v>5</v>
      </c>
      <c r="B198" s="27" t="s">
        <v>681</v>
      </c>
      <c r="C198" s="17">
        <v>600000</v>
      </c>
      <c r="D198" s="17">
        <v>2</v>
      </c>
      <c r="E198" s="17" t="s">
        <v>175</v>
      </c>
    </row>
    <row r="201" spans="1:5">
      <c r="B201" s="2"/>
      <c r="C201" s="2" t="s">
        <v>177</v>
      </c>
      <c r="D201" s="2" t="s">
        <v>163</v>
      </c>
      <c r="E201" s="2" t="s">
        <v>166</v>
      </c>
    </row>
    <row r="202" spans="1:5">
      <c r="B202" s="2" t="s">
        <v>178</v>
      </c>
      <c r="C202" s="2"/>
      <c r="D202" s="2">
        <v>700000</v>
      </c>
      <c r="E202" s="2">
        <v>600000</v>
      </c>
    </row>
    <row r="203" spans="1:5">
      <c r="B203" s="2" t="s">
        <v>180</v>
      </c>
      <c r="C203" s="2">
        <v>2</v>
      </c>
      <c r="D203" s="2">
        <v>2.2000000000000002</v>
      </c>
      <c r="E203" s="2">
        <v>2</v>
      </c>
    </row>
    <row r="204" spans="1:5">
      <c r="B204" s="2" t="s">
        <v>181</v>
      </c>
      <c r="C204" s="2"/>
      <c r="D204" s="2">
        <f>D202/D203</f>
        <v>318181.81818181818</v>
      </c>
      <c r="E204" s="2">
        <f>E202/E203</f>
        <v>300000</v>
      </c>
    </row>
    <row r="205" spans="1:5">
      <c r="B205" s="2" t="s">
        <v>162</v>
      </c>
      <c r="C205" s="2"/>
      <c r="D205" s="5">
        <v>-0.05</v>
      </c>
      <c r="E205" s="5">
        <v>-0.05</v>
      </c>
    </row>
    <row r="206" spans="1:5">
      <c r="B206" s="2" t="s">
        <v>179</v>
      </c>
      <c r="C206" s="2"/>
      <c r="D206" s="2">
        <f>D204*(1+D205)</f>
        <v>302272.72727272724</v>
      </c>
      <c r="E206" s="2">
        <f>E204*(1+E205)</f>
        <v>285000</v>
      </c>
    </row>
    <row r="207" spans="1:5">
      <c r="B207" s="2" t="s">
        <v>134</v>
      </c>
      <c r="C207" s="2"/>
      <c r="D207" s="5">
        <v>0.03</v>
      </c>
      <c r="E207" s="5">
        <v>0</v>
      </c>
    </row>
    <row r="208" spans="1:5">
      <c r="B208" s="2" t="s">
        <v>179</v>
      </c>
      <c r="C208" s="2">
        <f>AVERAGE(D208:E208)</f>
        <v>298170.45454545453</v>
      </c>
      <c r="D208" s="2">
        <f>D206*(1+D207)</f>
        <v>311340.90909090906</v>
      </c>
      <c r="E208" s="2">
        <f>E206*(1+E207)</f>
        <v>285000</v>
      </c>
    </row>
    <row r="209" spans="2:10">
      <c r="B209" s="2"/>
      <c r="C209" s="19" t="s">
        <v>268</v>
      </c>
      <c r="D209" s="2"/>
      <c r="E209" s="2"/>
    </row>
    <row r="210" spans="2:10">
      <c r="B210" s="2" t="s">
        <v>182</v>
      </c>
      <c r="C210" s="2">
        <f>(D208+E208)/2</f>
        <v>298170.45454545453</v>
      </c>
      <c r="D210" s="2"/>
      <c r="E210" s="2"/>
    </row>
    <row r="211" spans="2:10">
      <c r="B211" s="2" t="s">
        <v>546</v>
      </c>
      <c r="C211" s="82">
        <f>C210*C203</f>
        <v>596340.90909090906</v>
      </c>
      <c r="D211" s="2"/>
      <c r="E211" s="2"/>
    </row>
    <row r="213" spans="2:10" ht="19.5" thickBot="1"/>
    <row r="214" spans="2:10" ht="78.75" customHeight="1" thickBot="1">
      <c r="B214" s="145" t="s">
        <v>682</v>
      </c>
      <c r="C214" s="146"/>
      <c r="D214" s="146"/>
      <c r="E214" s="146"/>
      <c r="F214" s="146"/>
      <c r="G214" s="146"/>
      <c r="H214" s="146"/>
      <c r="I214" s="146"/>
      <c r="J214" s="147"/>
    </row>
    <row r="216" spans="2:10">
      <c r="B216" s="111" t="s">
        <v>683</v>
      </c>
    </row>
    <row r="218" spans="2:10">
      <c r="B218" s="2" t="s">
        <v>78</v>
      </c>
      <c r="C218" s="2">
        <v>5</v>
      </c>
    </row>
    <row r="219" spans="2:10">
      <c r="B219" s="2" t="s">
        <v>110</v>
      </c>
      <c r="C219" s="2">
        <v>100</v>
      </c>
    </row>
    <row r="220" spans="2:10">
      <c r="B220" s="2" t="s">
        <v>432</v>
      </c>
      <c r="C220" s="2">
        <v>1000</v>
      </c>
      <c r="D220" s="90" t="s">
        <v>434</v>
      </c>
    </row>
    <row r="221" spans="2:10">
      <c r="B221" s="2" t="s">
        <v>433</v>
      </c>
      <c r="C221" s="2">
        <v>100</v>
      </c>
      <c r="D221" s="90" t="s">
        <v>434</v>
      </c>
    </row>
    <row r="222" spans="2:10">
      <c r="B222" s="14" t="s">
        <v>35</v>
      </c>
      <c r="C222" s="2"/>
    </row>
    <row r="223" spans="2:10">
      <c r="B223" s="2" t="s">
        <v>547</v>
      </c>
      <c r="C223" s="2">
        <f>C220*C219*12</f>
        <v>1200000</v>
      </c>
    </row>
    <row r="224" spans="2:10">
      <c r="B224" s="2" t="s">
        <v>548</v>
      </c>
      <c r="C224" s="2">
        <f>C221*C219*12</f>
        <v>120000</v>
      </c>
      <c r="D224" s="90" t="s">
        <v>549</v>
      </c>
    </row>
    <row r="225" spans="2:10">
      <c r="B225" s="2" t="s">
        <v>435</v>
      </c>
      <c r="C225" s="2">
        <f>C223+C224</f>
        <v>1320000</v>
      </c>
      <c r="D225" s="90" t="s">
        <v>550</v>
      </c>
    </row>
    <row r="226" spans="2:10">
      <c r="B226" s="2" t="s">
        <v>80</v>
      </c>
      <c r="C226" s="82">
        <f>C225*C218</f>
        <v>6600000</v>
      </c>
      <c r="D226" s="90" t="s">
        <v>551</v>
      </c>
    </row>
    <row r="228" spans="2:10" ht="19.5" thickBot="1"/>
    <row r="229" spans="2:10" ht="60" customHeight="1" thickBot="1">
      <c r="B229" s="145" t="s">
        <v>552</v>
      </c>
      <c r="C229" s="146"/>
      <c r="D229" s="146"/>
      <c r="E229" s="146"/>
      <c r="F229" s="146"/>
      <c r="G229" s="146"/>
      <c r="H229" s="146"/>
      <c r="I229" s="146"/>
      <c r="J229" s="147"/>
    </row>
    <row r="232" spans="2:10" ht="19.5" thickBot="1">
      <c r="B232" s="2"/>
      <c r="C232" s="106" t="s">
        <v>183</v>
      </c>
      <c r="D232" s="101" t="s">
        <v>184</v>
      </c>
    </row>
    <row r="233" spans="2:10" ht="19.5" thickTop="1">
      <c r="B233" s="2" t="s">
        <v>178</v>
      </c>
      <c r="C233" s="107"/>
      <c r="D233" s="102">
        <v>50000</v>
      </c>
    </row>
    <row r="234" spans="2:10">
      <c r="B234" s="2" t="s">
        <v>187</v>
      </c>
      <c r="C234" s="108">
        <v>1</v>
      </c>
      <c r="D234" s="103">
        <f>C234-25%</f>
        <v>0.75</v>
      </c>
    </row>
    <row r="235" spans="2:10">
      <c r="B235" s="28" t="s">
        <v>188</v>
      </c>
      <c r="C235" s="108"/>
      <c r="D235" s="104">
        <f>C234/D234</f>
        <v>1.3333333333333333</v>
      </c>
    </row>
    <row r="236" spans="2:10">
      <c r="B236" s="2" t="s">
        <v>185</v>
      </c>
      <c r="C236" s="109" t="s">
        <v>189</v>
      </c>
      <c r="D236" s="105" t="s">
        <v>190</v>
      </c>
    </row>
    <row r="237" spans="2:10">
      <c r="B237" s="2" t="s">
        <v>191</v>
      </c>
      <c r="C237" s="108">
        <f>D237+14%</f>
        <v>1.1400000000000001</v>
      </c>
      <c r="D237" s="103">
        <v>1</v>
      </c>
    </row>
    <row r="238" spans="2:10">
      <c r="B238" s="28" t="s">
        <v>188</v>
      </c>
      <c r="C238" s="108"/>
      <c r="D238" s="103">
        <f>C237/D237</f>
        <v>1.1400000000000001</v>
      </c>
    </row>
    <row r="239" spans="2:10">
      <c r="B239" s="2" t="s">
        <v>186</v>
      </c>
      <c r="C239" s="109" t="s">
        <v>192</v>
      </c>
      <c r="D239" s="105" t="s">
        <v>193</v>
      </c>
    </row>
    <row r="240" spans="2:10">
      <c r="B240" s="2" t="s">
        <v>194</v>
      </c>
      <c r="C240" s="108">
        <f>D240+16%</f>
        <v>1.1599999999999999</v>
      </c>
      <c r="D240" s="103">
        <v>1</v>
      </c>
    </row>
    <row r="241" spans="2:4">
      <c r="B241" s="2"/>
      <c r="C241" s="108"/>
      <c r="D241" s="103">
        <f>C240/D240</f>
        <v>1.1599999999999999</v>
      </c>
    </row>
    <row r="242" spans="2:4">
      <c r="B242" s="2" t="s">
        <v>195</v>
      </c>
      <c r="C242" s="2"/>
      <c r="D242" s="82">
        <f>D233*D235</f>
        <v>66666.666666666657</v>
      </c>
    </row>
    <row r="245" spans="2:4">
      <c r="B245" s="116" t="s">
        <v>554</v>
      </c>
    </row>
    <row r="246" spans="2:4" ht="19.5" thickBot="1">
      <c r="B246" s="2"/>
      <c r="C246" s="106" t="s">
        <v>183</v>
      </c>
      <c r="D246" s="101" t="s">
        <v>184</v>
      </c>
    </row>
    <row r="247" spans="2:4" ht="19.5" thickTop="1">
      <c r="B247" s="2" t="s">
        <v>178</v>
      </c>
      <c r="C247" s="107"/>
      <c r="D247" s="102">
        <v>50000</v>
      </c>
    </row>
    <row r="248" spans="2:4">
      <c r="B248" s="2" t="s">
        <v>187</v>
      </c>
      <c r="C248" s="108">
        <v>1</v>
      </c>
      <c r="D248" s="103">
        <f>C248-25%</f>
        <v>0.75</v>
      </c>
    </row>
    <row r="249" spans="2:4">
      <c r="B249" s="28" t="s">
        <v>188</v>
      </c>
      <c r="C249" s="108"/>
      <c r="D249" s="104">
        <f>C248/D248</f>
        <v>1.3333333333333333</v>
      </c>
    </row>
    <row r="250" spans="2:4">
      <c r="B250" s="2" t="s">
        <v>185</v>
      </c>
      <c r="C250" s="109" t="s">
        <v>189</v>
      </c>
      <c r="D250" s="105" t="s">
        <v>190</v>
      </c>
    </row>
    <row r="251" spans="2:4">
      <c r="B251" s="2" t="s">
        <v>191</v>
      </c>
      <c r="C251" s="108">
        <f>D251+14%</f>
        <v>1.1400000000000001</v>
      </c>
      <c r="D251" s="103">
        <v>1</v>
      </c>
    </row>
    <row r="252" spans="2:4">
      <c r="B252" s="28" t="s">
        <v>188</v>
      </c>
      <c r="C252" s="108"/>
      <c r="D252" s="104">
        <f>C251/D251</f>
        <v>1.1400000000000001</v>
      </c>
    </row>
    <row r="253" spans="2:4">
      <c r="B253" s="2" t="s">
        <v>186</v>
      </c>
      <c r="C253" s="109" t="s">
        <v>192</v>
      </c>
      <c r="D253" s="105" t="s">
        <v>193</v>
      </c>
    </row>
    <row r="254" spans="2:4">
      <c r="B254" s="2" t="s">
        <v>194</v>
      </c>
      <c r="C254" s="108">
        <f>D254+16%</f>
        <v>1.1599999999999999</v>
      </c>
      <c r="D254" s="103">
        <v>1</v>
      </c>
    </row>
    <row r="255" spans="2:4">
      <c r="B255" s="2"/>
      <c r="C255" s="108"/>
      <c r="D255" s="104">
        <f>C254/D254</f>
        <v>1.1599999999999999</v>
      </c>
    </row>
    <row r="256" spans="2:4">
      <c r="B256" s="2" t="s">
        <v>553</v>
      </c>
      <c r="C256" s="110"/>
      <c r="D256" s="103">
        <f>D249*D252*D255</f>
        <v>1.7631999999999999</v>
      </c>
    </row>
    <row r="257" spans="2:10">
      <c r="B257" s="2" t="s">
        <v>195</v>
      </c>
      <c r="C257" s="2"/>
      <c r="D257" s="82">
        <f>D247*D256</f>
        <v>88160</v>
      </c>
    </row>
    <row r="259" spans="2:10" ht="19.5" thickBot="1"/>
    <row r="260" spans="2:10" ht="39.75" customHeight="1" thickBot="1">
      <c r="B260" s="145" t="s">
        <v>436</v>
      </c>
      <c r="C260" s="146"/>
      <c r="D260" s="146"/>
      <c r="E260" s="146"/>
      <c r="F260" s="146"/>
      <c r="G260" s="146"/>
      <c r="H260" s="146"/>
      <c r="I260" s="146"/>
      <c r="J260" s="147"/>
    </row>
    <row r="263" spans="2:10">
      <c r="B263" s="11" t="s">
        <v>556</v>
      </c>
    </row>
    <row r="264" spans="2:10">
      <c r="B264" s="2"/>
      <c r="C264" s="19" t="s">
        <v>153</v>
      </c>
      <c r="D264" s="19" t="s">
        <v>154</v>
      </c>
    </row>
    <row r="265" spans="2:10">
      <c r="B265" s="2" t="s">
        <v>71</v>
      </c>
      <c r="C265" s="3">
        <v>5</v>
      </c>
      <c r="D265" s="3">
        <v>5</v>
      </c>
    </row>
    <row r="266" spans="2:10">
      <c r="B266" s="2" t="s">
        <v>437</v>
      </c>
      <c r="C266" s="78">
        <v>0.13</v>
      </c>
      <c r="D266" s="78">
        <v>0.1</v>
      </c>
    </row>
    <row r="267" spans="2:10">
      <c r="B267" s="2" t="s">
        <v>178</v>
      </c>
      <c r="C267" s="91">
        <v>1</v>
      </c>
      <c r="D267" s="19"/>
      <c r="E267" s="90" t="s">
        <v>557</v>
      </c>
    </row>
    <row r="268" spans="2:10">
      <c r="B268" s="2" t="s">
        <v>438</v>
      </c>
      <c r="C268" s="92">
        <f>PMT(C266,C265,C267)</f>
        <v>-0.28431454335515777</v>
      </c>
      <c r="D268" s="19"/>
    </row>
    <row r="269" spans="2:10">
      <c r="B269" s="2" t="s">
        <v>439</v>
      </c>
      <c r="C269" s="19"/>
      <c r="D269" s="92">
        <f>C268</f>
        <v>-0.28431454335515777</v>
      </c>
    </row>
    <row r="270" spans="2:10">
      <c r="B270" s="2" t="s">
        <v>440</v>
      </c>
      <c r="C270" s="19"/>
      <c r="D270" s="91">
        <f>PV(D266,D265,D269)</f>
        <v>1.0777758093011374</v>
      </c>
      <c r="E270" s="90" t="s">
        <v>555</v>
      </c>
    </row>
    <row r="271" spans="2:10">
      <c r="B271" s="2" t="s">
        <v>146</v>
      </c>
      <c r="C271" s="19"/>
      <c r="D271" s="93">
        <f>C267/D270-1</f>
        <v>-7.2163253832510432E-2</v>
      </c>
    </row>
    <row r="274" spans="2:5">
      <c r="B274" s="11" t="s">
        <v>590</v>
      </c>
    </row>
    <row r="275" spans="2:5">
      <c r="B275" s="2"/>
      <c r="C275" s="19" t="s">
        <v>153</v>
      </c>
      <c r="D275" s="19" t="s">
        <v>154</v>
      </c>
    </row>
    <row r="276" spans="2:5">
      <c r="B276" s="2" t="s">
        <v>71</v>
      </c>
      <c r="C276" s="3">
        <v>5</v>
      </c>
      <c r="D276" s="3">
        <v>5</v>
      </c>
    </row>
    <row r="277" spans="2:5">
      <c r="B277" s="2" t="s">
        <v>437</v>
      </c>
      <c r="C277" s="78">
        <v>0.13</v>
      </c>
      <c r="D277" s="78">
        <v>0.1</v>
      </c>
    </row>
    <row r="278" spans="2:5">
      <c r="B278" s="2" t="s">
        <v>178</v>
      </c>
      <c r="C278" s="19"/>
      <c r="D278" s="91">
        <v>1</v>
      </c>
      <c r="E278" s="90" t="s">
        <v>557</v>
      </c>
    </row>
    <row r="279" spans="2:5">
      <c r="B279" s="2" t="s">
        <v>438</v>
      </c>
      <c r="C279" s="92"/>
      <c r="D279" s="92">
        <f>PMT(D277,D276,D278)</f>
        <v>-0.26379748079474541</v>
      </c>
    </row>
    <row r="280" spans="2:5">
      <c r="B280" s="2" t="s">
        <v>439</v>
      </c>
      <c r="C280" s="92">
        <f>D279</f>
        <v>-0.26379748079474541</v>
      </c>
      <c r="D280" s="92"/>
    </row>
    <row r="281" spans="2:5">
      <c r="B281" s="2" t="s">
        <v>440</v>
      </c>
      <c r="C281" s="91">
        <f>PV(C277,C276,C280)</f>
        <v>0.92783674616748923</v>
      </c>
      <c r="D281" s="92"/>
    </row>
    <row r="282" spans="2:5">
      <c r="B282" s="2" t="s">
        <v>146</v>
      </c>
      <c r="C282" s="19"/>
      <c r="D282" s="93">
        <f>C281/D278-1</f>
        <v>-7.2163253832510765E-2</v>
      </c>
    </row>
    <row r="285" spans="2:5">
      <c r="B285" s="11" t="s">
        <v>558</v>
      </c>
    </row>
    <row r="286" spans="2:5">
      <c r="B286" s="2"/>
      <c r="C286" s="19" t="s">
        <v>153</v>
      </c>
      <c r="D286" s="19" t="s">
        <v>154</v>
      </c>
    </row>
    <row r="287" spans="2:5">
      <c r="B287" s="2" t="s">
        <v>71</v>
      </c>
      <c r="C287" s="3">
        <v>5</v>
      </c>
      <c r="D287" s="3">
        <v>5</v>
      </c>
    </row>
    <row r="288" spans="2:5">
      <c r="B288" s="2" t="s">
        <v>437</v>
      </c>
      <c r="C288" s="78">
        <v>0.13</v>
      </c>
      <c r="D288" s="78">
        <v>0.1</v>
      </c>
    </row>
    <row r="289" spans="2:10">
      <c r="B289" s="2" t="s">
        <v>441</v>
      </c>
      <c r="C289" s="19">
        <v>-1</v>
      </c>
      <c r="D289" s="19">
        <v>-1</v>
      </c>
      <c r="E289" s="90" t="s">
        <v>559</v>
      </c>
    </row>
    <row r="290" spans="2:10">
      <c r="B290" s="2" t="s">
        <v>442</v>
      </c>
      <c r="C290" s="91">
        <f>PV(C288,C287,C289)</f>
        <v>3.5172312615427028</v>
      </c>
      <c r="D290" s="91">
        <f>PV(D288,D287,D289)</f>
        <v>3.7907867694084505</v>
      </c>
    </row>
    <row r="291" spans="2:10">
      <c r="B291" s="2" t="s">
        <v>146</v>
      </c>
      <c r="C291" s="19"/>
      <c r="D291" s="93">
        <f>C290/D290-1</f>
        <v>-7.216325383251132E-2</v>
      </c>
    </row>
    <row r="294" spans="2:10" ht="19.5" thickBot="1"/>
    <row r="295" spans="2:10" ht="117.75" customHeight="1" thickBot="1">
      <c r="B295" s="145" t="s">
        <v>201</v>
      </c>
      <c r="C295" s="146"/>
      <c r="D295" s="146"/>
      <c r="E295" s="146"/>
      <c r="F295" s="146"/>
      <c r="G295" s="146"/>
      <c r="H295" s="146"/>
      <c r="I295" s="146"/>
      <c r="J295" s="147"/>
    </row>
    <row r="298" spans="2:10">
      <c r="B298" s="2"/>
      <c r="C298" s="19" t="s">
        <v>178</v>
      </c>
      <c r="D298" s="19" t="s">
        <v>180</v>
      </c>
      <c r="E298" s="19" t="s">
        <v>196</v>
      </c>
    </row>
    <row r="299" spans="2:10">
      <c r="B299" s="2" t="s">
        <v>197</v>
      </c>
      <c r="C299" s="2">
        <v>600000</v>
      </c>
      <c r="D299" s="2">
        <v>800</v>
      </c>
      <c r="E299" s="2">
        <f>C299/D299</f>
        <v>750</v>
      </c>
      <c r="F299" s="90" t="s">
        <v>564</v>
      </c>
    </row>
    <row r="300" spans="2:10">
      <c r="B300" s="2" t="s">
        <v>198</v>
      </c>
      <c r="C300" s="2">
        <v>120000</v>
      </c>
      <c r="D300" s="2">
        <v>200</v>
      </c>
      <c r="E300" s="2">
        <f>C300/D300</f>
        <v>600</v>
      </c>
      <c r="F300" s="90" t="s">
        <v>562</v>
      </c>
    </row>
    <row r="301" spans="2:10">
      <c r="B301" s="2" t="s">
        <v>199</v>
      </c>
      <c r="C301" s="2">
        <v>260000</v>
      </c>
      <c r="D301" s="2">
        <v>400</v>
      </c>
      <c r="E301" s="2">
        <f>C301/D301</f>
        <v>650</v>
      </c>
      <c r="F301" s="90" t="s">
        <v>563</v>
      </c>
    </row>
    <row r="302" spans="2:10">
      <c r="B302" s="2" t="s">
        <v>200</v>
      </c>
      <c r="C302" s="2"/>
      <c r="D302" s="2"/>
      <c r="E302" s="2">
        <v>50</v>
      </c>
      <c r="F302" s="90" t="s">
        <v>561</v>
      </c>
    </row>
    <row r="303" spans="2:10">
      <c r="B303" s="2" t="s">
        <v>202</v>
      </c>
      <c r="C303" s="82">
        <f>E303*D303</f>
        <v>700000</v>
      </c>
      <c r="D303" s="2">
        <v>1000</v>
      </c>
      <c r="E303" s="2">
        <f>E299-E302</f>
        <v>700</v>
      </c>
      <c r="F303" s="90" t="s">
        <v>560</v>
      </c>
    </row>
    <row r="306" spans="2:10" ht="19.5" thickBot="1"/>
    <row r="307" spans="2:10" ht="40.5" customHeight="1" thickBot="1">
      <c r="B307" s="145" t="s">
        <v>443</v>
      </c>
      <c r="C307" s="146"/>
      <c r="D307" s="146"/>
      <c r="E307" s="146"/>
      <c r="F307" s="146"/>
      <c r="G307" s="146"/>
      <c r="H307" s="146"/>
      <c r="I307" s="146"/>
      <c r="J307" s="147"/>
    </row>
    <row r="310" spans="2:10">
      <c r="B310" s="2" t="s">
        <v>53</v>
      </c>
      <c r="C310" s="2">
        <v>800000</v>
      </c>
    </row>
    <row r="311" spans="2:10">
      <c r="B311" s="2" t="s">
        <v>49</v>
      </c>
      <c r="C311" s="2">
        <v>200000</v>
      </c>
    </row>
    <row r="312" spans="2:10">
      <c r="B312" s="2" t="s">
        <v>55</v>
      </c>
      <c r="C312" s="2">
        <v>150000</v>
      </c>
      <c r="D312" s="90" t="s">
        <v>587</v>
      </c>
    </row>
    <row r="313" spans="2:10">
      <c r="B313" s="2" t="s">
        <v>444</v>
      </c>
      <c r="C313" s="2">
        <v>100000</v>
      </c>
      <c r="D313" s="90" t="s">
        <v>587</v>
      </c>
    </row>
    <row r="314" spans="2:10">
      <c r="B314" s="14" t="s">
        <v>35</v>
      </c>
      <c r="C314" s="2"/>
    </row>
    <row r="315" spans="2:10">
      <c r="B315" s="2" t="s">
        <v>78</v>
      </c>
      <c r="C315" s="84">
        <f>C310/C311</f>
        <v>4</v>
      </c>
      <c r="D315" s="90" t="s">
        <v>565</v>
      </c>
    </row>
    <row r="317" spans="2:10" ht="19.5" thickBot="1"/>
    <row r="318" spans="2:10" ht="101.25" customHeight="1" thickBot="1">
      <c r="B318" s="145" t="s">
        <v>446</v>
      </c>
      <c r="C318" s="146"/>
      <c r="D318" s="146"/>
      <c r="E318" s="146"/>
      <c r="F318" s="146"/>
      <c r="G318" s="146"/>
      <c r="H318" s="146"/>
      <c r="I318" s="146"/>
      <c r="J318" s="147"/>
    </row>
    <row r="320" spans="2:10">
      <c r="B320" s="111" t="s">
        <v>566</v>
      </c>
    </row>
    <row r="322" spans="2:6" ht="19.5" thickBot="1">
      <c r="B322" s="1" t="s">
        <v>209</v>
      </c>
    </row>
    <row r="323" spans="2:6" ht="19.5" thickBot="1">
      <c r="B323" s="29" t="s">
        <v>210</v>
      </c>
      <c r="C323" s="30" t="s">
        <v>153</v>
      </c>
      <c r="D323" s="30" t="s">
        <v>211</v>
      </c>
      <c r="E323" s="30" t="s">
        <v>212</v>
      </c>
      <c r="F323" s="31" t="s">
        <v>213</v>
      </c>
    </row>
    <row r="324" spans="2:6">
      <c r="B324" s="32" t="s">
        <v>214</v>
      </c>
      <c r="C324" s="33" t="s">
        <v>215</v>
      </c>
      <c r="D324" s="33" t="s">
        <v>215</v>
      </c>
      <c r="E324" s="33" t="s">
        <v>215</v>
      </c>
      <c r="F324" s="34" t="s">
        <v>216</v>
      </c>
    </row>
    <row r="325" spans="2:6">
      <c r="B325" s="35" t="s">
        <v>217</v>
      </c>
      <c r="C325" s="3">
        <v>1</v>
      </c>
      <c r="D325" s="3">
        <v>1</v>
      </c>
      <c r="E325" s="3">
        <v>1</v>
      </c>
      <c r="F325" s="36">
        <v>2</v>
      </c>
    </row>
    <row r="326" spans="2:6">
      <c r="B326" s="35" t="s">
        <v>218</v>
      </c>
      <c r="C326" s="19" t="s">
        <v>220</v>
      </c>
      <c r="D326" s="19" t="s">
        <v>239</v>
      </c>
      <c r="E326" s="19" t="s">
        <v>220</v>
      </c>
      <c r="F326" s="37" t="s">
        <v>220</v>
      </c>
    </row>
    <row r="327" spans="2:6">
      <c r="B327" s="35" t="s">
        <v>185</v>
      </c>
      <c r="C327" s="19" t="s">
        <v>221</v>
      </c>
      <c r="D327" s="19" t="s">
        <v>236</v>
      </c>
      <c r="E327" s="19" t="s">
        <v>221</v>
      </c>
      <c r="F327" s="37" t="s">
        <v>221</v>
      </c>
    </row>
    <row r="328" spans="2:6">
      <c r="B328" s="35" t="s">
        <v>223</v>
      </c>
      <c r="C328" s="3">
        <v>3</v>
      </c>
      <c r="D328" s="3">
        <v>3</v>
      </c>
      <c r="E328" s="3">
        <v>2</v>
      </c>
      <c r="F328" s="36">
        <v>3</v>
      </c>
    </row>
    <row r="329" spans="2:6">
      <c r="B329" s="35" t="s">
        <v>224</v>
      </c>
      <c r="C329" s="2"/>
      <c r="D329" s="2">
        <v>150000</v>
      </c>
      <c r="E329" s="2">
        <v>145000</v>
      </c>
      <c r="F329" s="38">
        <v>135000</v>
      </c>
    </row>
    <row r="330" spans="2:6">
      <c r="B330" s="35" t="s">
        <v>225</v>
      </c>
      <c r="C330" s="2"/>
      <c r="D330" s="2"/>
      <c r="E330" s="2"/>
      <c r="F330" s="38"/>
    </row>
    <row r="331" spans="2:6">
      <c r="B331" s="35" t="s">
        <v>226</v>
      </c>
      <c r="C331" s="2"/>
      <c r="D331" s="2"/>
      <c r="E331" s="2"/>
      <c r="F331" s="38"/>
    </row>
    <row r="332" spans="2:6">
      <c r="B332" s="35" t="s">
        <v>227</v>
      </c>
      <c r="C332" s="2"/>
      <c r="D332" s="2"/>
      <c r="E332" s="2"/>
      <c r="F332" s="38"/>
    </row>
    <row r="333" spans="2:6">
      <c r="B333" s="35" t="s">
        <v>228</v>
      </c>
      <c r="C333" s="2"/>
      <c r="D333" s="2"/>
      <c r="E333" s="2"/>
      <c r="F333" s="38"/>
    </row>
    <row r="334" spans="2:6">
      <c r="B334" s="35" t="s">
        <v>229</v>
      </c>
      <c r="C334" s="2"/>
      <c r="D334" s="2"/>
      <c r="E334" s="2"/>
      <c r="F334" s="38"/>
    </row>
    <row r="335" spans="2:6">
      <c r="B335" s="35" t="s">
        <v>230</v>
      </c>
      <c r="C335" s="2"/>
      <c r="D335" s="2"/>
      <c r="E335" s="2"/>
      <c r="F335" s="38"/>
    </row>
    <row r="336" spans="2:6" ht="19.5" thickBot="1">
      <c r="B336" s="39" t="s">
        <v>231</v>
      </c>
      <c r="C336" s="40"/>
      <c r="D336" s="40"/>
      <c r="E336" s="40"/>
      <c r="F336" s="41"/>
    </row>
    <row r="339" spans="2:4" ht="19.5" thickBot="1">
      <c r="B339" s="1" t="s">
        <v>232</v>
      </c>
    </row>
    <row r="340" spans="2:4" ht="38.25" thickBot="1">
      <c r="B340" s="42" t="s">
        <v>233</v>
      </c>
      <c r="C340" s="43" t="s">
        <v>234</v>
      </c>
      <c r="D340" s="44" t="s">
        <v>235</v>
      </c>
    </row>
    <row r="341" spans="2:4">
      <c r="B341" s="32" t="s">
        <v>221</v>
      </c>
      <c r="C341" s="45">
        <v>181000</v>
      </c>
      <c r="D341" s="46">
        <v>165000</v>
      </c>
    </row>
    <row r="342" spans="2:4">
      <c r="B342" s="35" t="s">
        <v>236</v>
      </c>
      <c r="C342" s="3">
        <v>169000</v>
      </c>
      <c r="D342" s="36">
        <v>145000</v>
      </c>
    </row>
    <row r="343" spans="2:4" ht="19.5" thickBot="1">
      <c r="B343" s="39" t="s">
        <v>445</v>
      </c>
      <c r="C343" s="47">
        <v>172000</v>
      </c>
      <c r="D343" s="48">
        <v>151000</v>
      </c>
    </row>
    <row r="346" spans="2:4" ht="19.5" thickBot="1">
      <c r="B346" s="1" t="s">
        <v>237</v>
      </c>
    </row>
    <row r="347" spans="2:4" ht="38.25" thickBot="1">
      <c r="B347" s="42" t="s">
        <v>218</v>
      </c>
      <c r="C347" s="44" t="s">
        <v>238</v>
      </c>
    </row>
    <row r="348" spans="2:4">
      <c r="B348" s="32" t="s">
        <v>239</v>
      </c>
      <c r="C348" s="46">
        <v>150000</v>
      </c>
    </row>
    <row r="349" spans="2:4">
      <c r="B349" s="35" t="s">
        <v>220</v>
      </c>
      <c r="C349" s="36">
        <v>130000</v>
      </c>
    </row>
    <row r="350" spans="2:4" ht="19.5" thickBot="1">
      <c r="B350" s="39" t="s">
        <v>219</v>
      </c>
      <c r="C350" s="48">
        <v>110000</v>
      </c>
    </row>
    <row r="353" spans="2:3" ht="19.5" thickBot="1">
      <c r="B353" s="1" t="s">
        <v>240</v>
      </c>
    </row>
    <row r="354" spans="2:3" ht="94.5" thickBot="1">
      <c r="B354" s="42" t="s">
        <v>241</v>
      </c>
      <c r="C354" s="44" t="s">
        <v>242</v>
      </c>
    </row>
    <row r="355" spans="2:3">
      <c r="B355" s="32" t="s">
        <v>243</v>
      </c>
      <c r="C355" s="49">
        <v>-0.1</v>
      </c>
    </row>
    <row r="356" spans="2:3">
      <c r="B356" s="35" t="s">
        <v>244</v>
      </c>
      <c r="C356" s="50">
        <v>-0.15</v>
      </c>
    </row>
    <row r="357" spans="2:3" ht="19.5" thickBot="1">
      <c r="B357" s="39" t="s">
        <v>245</v>
      </c>
      <c r="C357" s="51">
        <v>0</v>
      </c>
    </row>
    <row r="360" spans="2:3" ht="19.5" thickBot="1">
      <c r="B360" s="1" t="s">
        <v>246</v>
      </c>
    </row>
    <row r="361" spans="2:3" ht="75.75" thickBot="1">
      <c r="B361" s="42" t="s">
        <v>217</v>
      </c>
      <c r="C361" s="44" t="s">
        <v>247</v>
      </c>
    </row>
    <row r="362" spans="2:3">
      <c r="B362" s="52">
        <v>1</v>
      </c>
      <c r="C362" s="49">
        <v>0</v>
      </c>
    </row>
    <row r="363" spans="2:3">
      <c r="B363" s="53">
        <v>2</v>
      </c>
      <c r="C363" s="50">
        <v>-0.05</v>
      </c>
    </row>
    <row r="364" spans="2:3" ht="19.5" thickBot="1">
      <c r="B364" s="54">
        <v>3</v>
      </c>
      <c r="C364" s="51">
        <v>-0.1</v>
      </c>
    </row>
    <row r="371" spans="2:9" ht="19.5" thickBot="1"/>
    <row r="372" spans="2:9" ht="19.5" thickBot="1">
      <c r="B372" s="55" t="s">
        <v>210</v>
      </c>
      <c r="C372" s="56" t="s">
        <v>153</v>
      </c>
      <c r="D372" s="56" t="s">
        <v>211</v>
      </c>
      <c r="E372" s="56" t="s">
        <v>212</v>
      </c>
      <c r="F372" s="57" t="s">
        <v>213</v>
      </c>
    </row>
    <row r="373" spans="2:9">
      <c r="B373" s="58" t="s">
        <v>248</v>
      </c>
      <c r="C373" s="59"/>
      <c r="D373" s="60">
        <v>-7.0000000000000007E-2</v>
      </c>
      <c r="E373" s="60">
        <v>-7.0000000000000007E-2</v>
      </c>
      <c r="F373" s="61">
        <v>-7.0000000000000007E-2</v>
      </c>
    </row>
    <row r="374" spans="2:9">
      <c r="B374" s="62" t="s">
        <v>249</v>
      </c>
      <c r="C374" s="63"/>
      <c r="D374" s="64">
        <f>1+D373</f>
        <v>0.92999999999999994</v>
      </c>
      <c r="E374" s="64">
        <f t="shared" ref="E374:F374" si="1">1+E373</f>
        <v>0.92999999999999994</v>
      </c>
      <c r="F374" s="65">
        <f t="shared" si="1"/>
        <v>0.92999999999999994</v>
      </c>
    </row>
    <row r="375" spans="2:9">
      <c r="B375" s="66" t="s">
        <v>250</v>
      </c>
      <c r="C375" s="17" t="s">
        <v>251</v>
      </c>
      <c r="D375" s="17" t="s">
        <v>251</v>
      </c>
      <c r="E375" s="17" t="s">
        <v>251</v>
      </c>
      <c r="F375" s="67" t="s">
        <v>252</v>
      </c>
    </row>
    <row r="376" spans="2:9">
      <c r="B376" s="62" t="s">
        <v>253</v>
      </c>
      <c r="C376" s="17">
        <v>181000</v>
      </c>
      <c r="D376" s="17"/>
      <c r="E376" s="17"/>
      <c r="F376" s="67">
        <v>165000</v>
      </c>
    </row>
    <row r="377" spans="2:9">
      <c r="B377" s="62" t="s">
        <v>254</v>
      </c>
      <c r="C377" s="63"/>
      <c r="D377" s="64">
        <v>1</v>
      </c>
      <c r="E377" s="64">
        <v>1</v>
      </c>
      <c r="F377" s="65">
        <f>C376/F376</f>
        <v>1.0969696969696969</v>
      </c>
      <c r="G377" s="68" t="s">
        <v>255</v>
      </c>
      <c r="H377" s="21" t="s">
        <v>146</v>
      </c>
      <c r="I377" s="21" t="s">
        <v>256</v>
      </c>
    </row>
    <row r="378" spans="2:9">
      <c r="B378" s="66" t="s">
        <v>257</v>
      </c>
      <c r="C378" s="16">
        <v>1</v>
      </c>
      <c r="D378" s="16">
        <v>1</v>
      </c>
      <c r="E378" s="16">
        <v>1</v>
      </c>
      <c r="F378" s="69">
        <v>2</v>
      </c>
      <c r="G378" s="20">
        <v>1</v>
      </c>
      <c r="H378" s="10">
        <v>0</v>
      </c>
      <c r="I378" s="1">
        <v>1</v>
      </c>
    </row>
    <row r="379" spans="2:9">
      <c r="B379" s="62" t="s">
        <v>253</v>
      </c>
      <c r="C379" s="17">
        <v>1</v>
      </c>
      <c r="D379" s="17"/>
      <c r="E379" s="17"/>
      <c r="F379" s="67">
        <v>0.95</v>
      </c>
      <c r="G379" s="20">
        <v>2</v>
      </c>
      <c r="H379" s="10">
        <v>-0.05</v>
      </c>
      <c r="I379" s="1">
        <v>0.95</v>
      </c>
    </row>
    <row r="380" spans="2:9">
      <c r="B380" s="62" t="s">
        <v>258</v>
      </c>
      <c r="C380" s="63"/>
      <c r="D380" s="64">
        <v>1</v>
      </c>
      <c r="E380" s="64">
        <v>1</v>
      </c>
      <c r="F380" s="94">
        <f>C379/F379</f>
        <v>1.0526315789473684</v>
      </c>
      <c r="G380" s="20">
        <v>3</v>
      </c>
      <c r="H380" s="10">
        <v>-0.1</v>
      </c>
      <c r="I380" s="1">
        <v>0.9</v>
      </c>
    </row>
    <row r="381" spans="2:9">
      <c r="B381" s="66" t="s">
        <v>259</v>
      </c>
      <c r="C381" s="17" t="s">
        <v>220</v>
      </c>
      <c r="D381" s="17" t="s">
        <v>239</v>
      </c>
      <c r="E381" s="17" t="s">
        <v>220</v>
      </c>
      <c r="F381" s="67" t="s">
        <v>220</v>
      </c>
    </row>
    <row r="382" spans="2:9">
      <c r="B382" s="62" t="s">
        <v>253</v>
      </c>
      <c r="C382" s="17">
        <v>130000</v>
      </c>
      <c r="D382" s="17">
        <v>150000</v>
      </c>
      <c r="E382" s="17"/>
      <c r="F382" s="67"/>
    </row>
    <row r="383" spans="2:9">
      <c r="B383" s="62" t="s">
        <v>260</v>
      </c>
      <c r="C383" s="63"/>
      <c r="D383" s="64">
        <f>C382/D382</f>
        <v>0.8666666666666667</v>
      </c>
      <c r="E383" s="64">
        <v>1</v>
      </c>
      <c r="F383" s="65">
        <v>1</v>
      </c>
    </row>
    <row r="384" spans="2:9">
      <c r="B384" s="66" t="s">
        <v>261</v>
      </c>
      <c r="C384" s="17" t="s">
        <v>221</v>
      </c>
      <c r="D384" s="17" t="s">
        <v>236</v>
      </c>
      <c r="E384" s="17" t="s">
        <v>221</v>
      </c>
      <c r="F384" s="67" t="s">
        <v>221</v>
      </c>
    </row>
    <row r="385" spans="2:10">
      <c r="B385" s="62" t="s">
        <v>253</v>
      </c>
      <c r="C385" s="17">
        <v>181000</v>
      </c>
      <c r="D385" s="17">
        <v>169000</v>
      </c>
      <c r="E385" s="17"/>
      <c r="F385" s="67"/>
      <c r="G385" s="68" t="s">
        <v>241</v>
      </c>
      <c r="H385" s="21" t="s">
        <v>146</v>
      </c>
      <c r="I385" s="21" t="s">
        <v>256</v>
      </c>
    </row>
    <row r="386" spans="2:10">
      <c r="B386" s="62" t="s">
        <v>262</v>
      </c>
      <c r="C386" s="63"/>
      <c r="D386" s="64">
        <f>C385/D385</f>
        <v>1.0710059171597632</v>
      </c>
      <c r="E386" s="64">
        <v>1</v>
      </c>
      <c r="F386" s="65">
        <v>1</v>
      </c>
      <c r="G386" s="20">
        <v>1</v>
      </c>
      <c r="H386" s="10">
        <v>-0.1</v>
      </c>
      <c r="I386" s="70">
        <f>I387*(1+H386)</f>
        <v>0.76500000000000001</v>
      </c>
      <c r="J386" s="70"/>
    </row>
    <row r="387" spans="2:10">
      <c r="B387" s="66" t="s">
        <v>263</v>
      </c>
      <c r="C387" s="16">
        <v>3</v>
      </c>
      <c r="D387" s="16">
        <v>3</v>
      </c>
      <c r="E387" s="16">
        <v>2</v>
      </c>
      <c r="F387" s="69">
        <v>3</v>
      </c>
      <c r="G387" s="20">
        <v>2</v>
      </c>
      <c r="H387" s="10">
        <v>-0.15</v>
      </c>
      <c r="I387" s="1">
        <f>I388*(1+H387)</f>
        <v>0.85</v>
      </c>
    </row>
    <row r="388" spans="2:10">
      <c r="B388" s="62" t="s">
        <v>253</v>
      </c>
      <c r="C388" s="17">
        <v>1</v>
      </c>
      <c r="D388" s="17"/>
      <c r="E388" s="17">
        <v>0.85</v>
      </c>
      <c r="F388" s="67"/>
      <c r="G388" s="20">
        <v>3</v>
      </c>
      <c r="H388" s="10">
        <v>0</v>
      </c>
      <c r="I388" s="1">
        <v>1</v>
      </c>
    </row>
    <row r="389" spans="2:10">
      <c r="B389" s="62" t="s">
        <v>264</v>
      </c>
      <c r="C389" s="63"/>
      <c r="D389" s="64">
        <v>1</v>
      </c>
      <c r="E389" s="64">
        <f>C388/E388</f>
        <v>1.1764705882352942</v>
      </c>
      <c r="F389" s="65">
        <v>1</v>
      </c>
    </row>
    <row r="390" spans="2:10">
      <c r="B390" s="35" t="s">
        <v>265</v>
      </c>
      <c r="C390" s="17"/>
      <c r="D390" s="17">
        <f>D374*D377*D380*D383*D386*D389</f>
        <v>0.86323076923076913</v>
      </c>
      <c r="E390" s="17">
        <f>E374*E377*E380*E383*E386*E389</f>
        <v>1.0941176470588234</v>
      </c>
      <c r="F390" s="67">
        <f>F374*F377*F380*F383*F386*F389</f>
        <v>1.0738755980861243</v>
      </c>
    </row>
    <row r="391" spans="2:10">
      <c r="B391" s="35" t="s">
        <v>266</v>
      </c>
      <c r="C391" s="17"/>
      <c r="D391" s="17">
        <v>150000</v>
      </c>
      <c r="E391" s="17">
        <v>145000</v>
      </c>
      <c r="F391" s="67">
        <v>135000</v>
      </c>
    </row>
    <row r="392" spans="2:10">
      <c r="B392" s="35" t="s">
        <v>179</v>
      </c>
      <c r="C392" s="17"/>
      <c r="D392" s="17">
        <f>D390*D391</f>
        <v>129484.61538461538</v>
      </c>
      <c r="E392" s="17">
        <f>E390*E391</f>
        <v>158647.0588235294</v>
      </c>
      <c r="F392" s="67">
        <f>F390*F391</f>
        <v>144973.20574162679</v>
      </c>
    </row>
    <row r="393" spans="2:10">
      <c r="B393" s="35" t="s">
        <v>267</v>
      </c>
      <c r="C393" s="17"/>
      <c r="D393" s="17">
        <f>1/3</f>
        <v>0.33333333333333331</v>
      </c>
      <c r="E393" s="17">
        <f>1/3</f>
        <v>0.33333333333333331</v>
      </c>
      <c r="F393" s="67">
        <f>1/3</f>
        <v>0.33333333333333331</v>
      </c>
    </row>
    <row r="394" spans="2:10">
      <c r="B394" s="35"/>
      <c r="C394" s="17">
        <f>D394+E394+F394</f>
        <v>144368.29331659051</v>
      </c>
      <c r="D394" s="17">
        <f>D392*D393</f>
        <v>43161.538461538454</v>
      </c>
      <c r="E394" s="17">
        <f>E392*E393</f>
        <v>52882.352941176461</v>
      </c>
      <c r="F394" s="67">
        <f>F392*F393</f>
        <v>48324.401913875598</v>
      </c>
    </row>
    <row r="395" spans="2:10">
      <c r="B395" s="35"/>
      <c r="C395" s="17" t="s">
        <v>268</v>
      </c>
      <c r="D395" s="17"/>
      <c r="E395" s="17"/>
      <c r="F395" s="67"/>
    </row>
    <row r="396" spans="2:10">
      <c r="B396" s="35"/>
      <c r="C396" s="17">
        <f>(D392+E392+F392)/3</f>
        <v>144368.29331659051</v>
      </c>
      <c r="D396" s="17"/>
      <c r="E396" s="17"/>
      <c r="F396" s="67"/>
    </row>
    <row r="397" spans="2:10">
      <c r="B397" s="35"/>
      <c r="C397" s="17" t="s">
        <v>268</v>
      </c>
      <c r="D397" s="17"/>
      <c r="E397" s="17"/>
      <c r="F397" s="67"/>
    </row>
    <row r="398" spans="2:10">
      <c r="B398" s="35" t="s">
        <v>269</v>
      </c>
      <c r="C398" s="17">
        <f>AVERAGE(D392:F392)</f>
        <v>144368.29331659051</v>
      </c>
      <c r="D398" s="17"/>
      <c r="E398" s="17"/>
      <c r="F398" s="67"/>
    </row>
    <row r="399" spans="2:10">
      <c r="B399" s="35" t="s">
        <v>110</v>
      </c>
      <c r="C399" s="2">
        <v>43</v>
      </c>
      <c r="D399" s="2"/>
      <c r="E399" s="2"/>
      <c r="F399" s="38"/>
    </row>
    <row r="400" spans="2:10">
      <c r="B400" s="35" t="s">
        <v>80</v>
      </c>
      <c r="C400" s="2">
        <f>C398*C399</f>
        <v>6207836.6126133921</v>
      </c>
      <c r="D400" s="2"/>
      <c r="E400" s="2"/>
      <c r="F400" s="38"/>
    </row>
    <row r="401" spans="2:10" ht="19.5" thickBot="1">
      <c r="B401" s="39" t="s">
        <v>270</v>
      </c>
      <c r="C401" s="86">
        <f>ROUND(C400,-3)</f>
        <v>6208000</v>
      </c>
      <c r="D401" s="40"/>
      <c r="E401" s="40"/>
      <c r="F401" s="41"/>
    </row>
    <row r="403" spans="2:10" ht="19.5" thickBot="1"/>
    <row r="404" spans="2:10" ht="41.25" customHeight="1" thickBot="1">
      <c r="B404" s="145" t="s">
        <v>447</v>
      </c>
      <c r="C404" s="146"/>
      <c r="D404" s="146"/>
      <c r="E404" s="146"/>
      <c r="F404" s="146"/>
      <c r="G404" s="146"/>
      <c r="H404" s="146"/>
      <c r="I404" s="146"/>
      <c r="J404" s="147"/>
    </row>
    <row r="406" spans="2:10">
      <c r="G406" s="155">
        <v>2005</v>
      </c>
      <c r="H406" s="156">
        <v>2010</v>
      </c>
      <c r="I406" s="157">
        <v>2016</v>
      </c>
    </row>
    <row r="407" spans="2:10">
      <c r="B407" s="2" t="s">
        <v>448</v>
      </c>
      <c r="C407" s="95">
        <v>1.28</v>
      </c>
      <c r="D407" s="113">
        <v>2.2799999999999998</v>
      </c>
      <c r="G407" s="153"/>
      <c r="H407" s="153"/>
      <c r="I407" s="153"/>
    </row>
    <row r="408" spans="2:10">
      <c r="B408" s="2" t="s">
        <v>449</v>
      </c>
      <c r="C408" s="95">
        <v>0.37</v>
      </c>
      <c r="D408" s="113">
        <v>1.37</v>
      </c>
      <c r="H408" s="154"/>
      <c r="I408" s="154"/>
    </row>
    <row r="409" spans="2:10">
      <c r="B409" s="2" t="s">
        <v>450</v>
      </c>
      <c r="C409" s="2">
        <v>200</v>
      </c>
      <c r="D409" s="113"/>
    </row>
    <row r="410" spans="2:10">
      <c r="B410" s="2" t="s">
        <v>35</v>
      </c>
      <c r="C410" s="2"/>
      <c r="D410" s="113"/>
    </row>
    <row r="411" spans="2:10">
      <c r="B411" s="2" t="s">
        <v>278</v>
      </c>
      <c r="C411" s="2">
        <f>(1+C407)/(1+C408)</f>
        <v>1.6642335766423357</v>
      </c>
      <c r="D411" s="113">
        <f>D407/D408</f>
        <v>1.6642335766423355</v>
      </c>
    </row>
    <row r="412" spans="2:10">
      <c r="B412" s="2" t="s">
        <v>451</v>
      </c>
      <c r="C412" s="82">
        <f>C409*C411</f>
        <v>332.84671532846716</v>
      </c>
    </row>
    <row r="414" spans="2:10" ht="19.5" thickBot="1"/>
    <row r="415" spans="2:10" ht="41.25" customHeight="1" thickBot="1">
      <c r="B415" s="145" t="s">
        <v>498</v>
      </c>
      <c r="C415" s="146"/>
      <c r="D415" s="146"/>
      <c r="E415" s="146"/>
      <c r="F415" s="146"/>
      <c r="G415" s="146"/>
      <c r="H415" s="146"/>
      <c r="I415" s="146"/>
      <c r="J415" s="147"/>
    </row>
    <row r="418" spans="1:10">
      <c r="B418" s="90" t="s">
        <v>499</v>
      </c>
    </row>
    <row r="419" spans="1:10">
      <c r="B419" s="90" t="s">
        <v>500</v>
      </c>
    </row>
    <row r="420" spans="1:10">
      <c r="B420" s="90" t="s">
        <v>501</v>
      </c>
    </row>
    <row r="423" spans="1:10" ht="19.5" thickBot="1"/>
    <row r="424" spans="1:10" ht="114.75" customHeight="1" thickBot="1">
      <c r="B424" s="145" t="s">
        <v>684</v>
      </c>
      <c r="C424" s="146"/>
      <c r="D424" s="146"/>
      <c r="E424" s="146"/>
      <c r="F424" s="146"/>
      <c r="G424" s="146"/>
      <c r="H424" s="146"/>
      <c r="I424" s="146"/>
      <c r="J424" s="147"/>
    </row>
    <row r="427" spans="1:10">
      <c r="A427" s="20"/>
      <c r="B427" s="26" t="s">
        <v>171</v>
      </c>
      <c r="C427" s="26" t="s">
        <v>172</v>
      </c>
      <c r="D427" s="26" t="s">
        <v>173</v>
      </c>
      <c r="E427" s="26" t="s">
        <v>174</v>
      </c>
    </row>
    <row r="428" spans="1:10">
      <c r="A428" s="96">
        <v>1</v>
      </c>
      <c r="B428" s="26" t="s">
        <v>685</v>
      </c>
      <c r="C428" s="17">
        <v>600000</v>
      </c>
      <c r="D428" s="17">
        <v>2</v>
      </c>
      <c r="E428" s="17" t="s">
        <v>176</v>
      </c>
    </row>
    <row r="429" spans="1:10">
      <c r="A429" s="96">
        <v>2</v>
      </c>
      <c r="B429" s="26" t="s">
        <v>168</v>
      </c>
      <c r="C429" s="17">
        <v>800000</v>
      </c>
      <c r="D429" s="17">
        <v>2.2000000000000002</v>
      </c>
      <c r="E429" s="17" t="s">
        <v>176</v>
      </c>
    </row>
    <row r="430" spans="1:10" ht="37.5">
      <c r="A430" s="96">
        <v>3</v>
      </c>
      <c r="B430" s="27" t="s">
        <v>452</v>
      </c>
      <c r="C430" s="17">
        <v>400000</v>
      </c>
      <c r="D430" s="17">
        <v>2.2000000000000002</v>
      </c>
      <c r="E430" s="17" t="s">
        <v>176</v>
      </c>
    </row>
    <row r="431" spans="1:10">
      <c r="A431" s="96">
        <v>4</v>
      </c>
      <c r="B431" s="27" t="s">
        <v>453</v>
      </c>
      <c r="C431" s="17">
        <v>500000</v>
      </c>
      <c r="D431" s="17">
        <v>1.8</v>
      </c>
      <c r="E431" s="17" t="s">
        <v>176</v>
      </c>
    </row>
    <row r="432" spans="1:10" ht="37.5">
      <c r="A432" s="96">
        <v>5</v>
      </c>
      <c r="B432" s="27" t="s">
        <v>686</v>
      </c>
      <c r="C432" s="17">
        <v>700000</v>
      </c>
      <c r="D432" s="17">
        <v>1.8</v>
      </c>
      <c r="E432" s="17" t="s">
        <v>175</v>
      </c>
    </row>
    <row r="435" spans="2:10">
      <c r="B435" s="2"/>
      <c r="C435" s="2" t="s">
        <v>177</v>
      </c>
      <c r="D435" s="2" t="s">
        <v>454</v>
      </c>
      <c r="E435" s="2" t="s">
        <v>166</v>
      </c>
    </row>
    <row r="436" spans="2:10">
      <c r="B436" s="2" t="s">
        <v>178</v>
      </c>
      <c r="C436" s="2"/>
      <c r="D436" s="2">
        <v>600000</v>
      </c>
      <c r="E436" s="2">
        <v>700000</v>
      </c>
    </row>
    <row r="437" spans="2:10">
      <c r="B437" s="2" t="s">
        <v>180</v>
      </c>
      <c r="C437" s="2">
        <v>2</v>
      </c>
      <c r="D437" s="2">
        <v>2</v>
      </c>
      <c r="E437" s="2">
        <v>1.8</v>
      </c>
    </row>
    <row r="438" spans="2:10">
      <c r="B438" s="2" t="s">
        <v>181</v>
      </c>
      <c r="C438" s="2"/>
      <c r="D438" s="2">
        <f>D436/D437</f>
        <v>300000</v>
      </c>
      <c r="E438" s="2">
        <f>E436/E437</f>
        <v>388888.88888888888</v>
      </c>
    </row>
    <row r="439" spans="2:10">
      <c r="B439" s="2" t="s">
        <v>162</v>
      </c>
      <c r="C439" s="2"/>
      <c r="D439" s="5">
        <v>-7.0000000000000007E-2</v>
      </c>
      <c r="E439" s="5">
        <v>-7.0000000000000007E-2</v>
      </c>
    </row>
    <row r="440" spans="2:10">
      <c r="B440" s="2" t="s">
        <v>179</v>
      </c>
      <c r="C440" s="2"/>
      <c r="D440" s="2">
        <f>D438*(1+D439)</f>
        <v>279000</v>
      </c>
      <c r="E440" s="2">
        <f>E438*(1+E439)</f>
        <v>361666.66666666663</v>
      </c>
    </row>
    <row r="441" spans="2:10">
      <c r="B441" s="2" t="s">
        <v>134</v>
      </c>
      <c r="C441" s="2"/>
      <c r="D441" s="5">
        <v>0</v>
      </c>
      <c r="E441" s="5">
        <v>-0.03</v>
      </c>
    </row>
    <row r="442" spans="2:10">
      <c r="B442" s="2" t="s">
        <v>179</v>
      </c>
      <c r="C442" s="2"/>
      <c r="D442" s="2">
        <f>D440*(1+D441)</f>
        <v>279000</v>
      </c>
      <c r="E442" s="2">
        <f>E440*(1+E441)</f>
        <v>350816.66666666663</v>
      </c>
    </row>
    <row r="443" spans="2:10">
      <c r="B443" s="2" t="s">
        <v>182</v>
      </c>
      <c r="C443" s="2">
        <f>(D442+E442)/2</f>
        <v>314908.33333333331</v>
      </c>
      <c r="D443" s="2"/>
      <c r="E443" s="2"/>
    </row>
    <row r="444" spans="2:10">
      <c r="B444" s="2" t="s">
        <v>53</v>
      </c>
      <c r="C444" s="82">
        <f>C443*C437</f>
        <v>629816.66666666663</v>
      </c>
      <c r="D444" s="2"/>
      <c r="E444" s="2"/>
    </row>
    <row r="446" spans="2:10" ht="19.5" thickBot="1"/>
    <row r="447" spans="2:10" ht="149.25" customHeight="1" thickBot="1">
      <c r="B447" s="145" t="s">
        <v>687</v>
      </c>
      <c r="C447" s="146"/>
      <c r="D447" s="146"/>
      <c r="E447" s="146"/>
      <c r="F447" s="146"/>
      <c r="G447" s="146"/>
      <c r="H447" s="146"/>
      <c r="I447" s="146"/>
      <c r="J447" s="147"/>
    </row>
    <row r="450" spans="2:6">
      <c r="B450" s="14" t="s">
        <v>595</v>
      </c>
      <c r="C450" s="19" t="s">
        <v>153</v>
      </c>
      <c r="D450" s="19" t="s">
        <v>204</v>
      </c>
      <c r="E450" s="19" t="s">
        <v>205</v>
      </c>
    </row>
    <row r="451" spans="2:6">
      <c r="B451" s="2" t="s">
        <v>178</v>
      </c>
      <c r="C451" s="2"/>
      <c r="D451" s="2">
        <v>15000000</v>
      </c>
      <c r="E451" s="2">
        <v>60000000</v>
      </c>
    </row>
    <row r="452" spans="2:6">
      <c r="B452" s="2" t="s">
        <v>203</v>
      </c>
      <c r="C452" s="2">
        <v>15000</v>
      </c>
      <c r="D452" s="2">
        <v>5000</v>
      </c>
      <c r="E452" s="2">
        <v>20000</v>
      </c>
    </row>
    <row r="453" spans="2:6">
      <c r="B453" s="2" t="s">
        <v>206</v>
      </c>
      <c r="C453" s="2">
        <v>2</v>
      </c>
      <c r="D453" s="2">
        <v>1</v>
      </c>
      <c r="E453" s="2">
        <v>2.5</v>
      </c>
    </row>
    <row r="454" spans="2:6">
      <c r="B454" s="2" t="s">
        <v>181</v>
      </c>
      <c r="C454" s="2"/>
      <c r="D454" s="2">
        <f>D451/D453</f>
        <v>15000000</v>
      </c>
      <c r="E454" s="2">
        <f>E451/E453</f>
        <v>24000000</v>
      </c>
    </row>
    <row r="455" spans="2:6">
      <c r="B455" s="2" t="s">
        <v>207</v>
      </c>
      <c r="C455" s="2">
        <f>C452/C453</f>
        <v>7500</v>
      </c>
      <c r="D455" s="2">
        <f t="shared" ref="D455:E455" si="2">D452/D453</f>
        <v>5000</v>
      </c>
      <c r="E455" s="2">
        <f t="shared" si="2"/>
        <v>8000</v>
      </c>
    </row>
    <row r="456" spans="2:6">
      <c r="B456" s="2" t="s">
        <v>146</v>
      </c>
      <c r="C456" s="2"/>
      <c r="D456" s="2">
        <f>C455/D455</f>
        <v>1.5</v>
      </c>
      <c r="E456" s="18">
        <f>C455/E455</f>
        <v>0.9375</v>
      </c>
      <c r="F456" s="90" t="s">
        <v>539</v>
      </c>
    </row>
    <row r="457" spans="2:6">
      <c r="B457" s="2" t="s">
        <v>208</v>
      </c>
      <c r="C457" s="2"/>
      <c r="D457" s="2">
        <f>D454*D456</f>
        <v>22500000</v>
      </c>
      <c r="E457" s="2">
        <f>E454*E456</f>
        <v>22500000</v>
      </c>
    </row>
    <row r="458" spans="2:6">
      <c r="B458" s="2" t="s">
        <v>182</v>
      </c>
      <c r="C458" s="2">
        <f>AVERAGE(D457:E457)</f>
        <v>22500000</v>
      </c>
      <c r="D458" s="2"/>
      <c r="E458" s="2"/>
    </row>
    <row r="459" spans="2:6">
      <c r="B459" s="2" t="s">
        <v>53</v>
      </c>
      <c r="C459" s="82">
        <f>C458*C453</f>
        <v>45000000</v>
      </c>
      <c r="D459" s="2"/>
      <c r="E459" s="2"/>
    </row>
    <row r="461" spans="2:6">
      <c r="B461" s="14" t="s">
        <v>596</v>
      </c>
      <c r="C461" s="19" t="s">
        <v>153</v>
      </c>
      <c r="D461" s="19" t="s">
        <v>204</v>
      </c>
      <c r="E461" s="19" t="s">
        <v>205</v>
      </c>
    </row>
    <row r="462" spans="2:6">
      <c r="B462" s="2" t="s">
        <v>178</v>
      </c>
      <c r="C462" s="2"/>
      <c r="D462" s="2">
        <v>15000000</v>
      </c>
      <c r="E462" s="2">
        <v>60000000</v>
      </c>
    </row>
    <row r="463" spans="2:6">
      <c r="B463" s="2" t="s">
        <v>203</v>
      </c>
      <c r="C463" s="2">
        <v>15000</v>
      </c>
      <c r="D463" s="2">
        <v>5000</v>
      </c>
      <c r="E463" s="2">
        <v>20000</v>
      </c>
    </row>
    <row r="464" spans="2:6">
      <c r="B464" s="2" t="s">
        <v>669</v>
      </c>
      <c r="C464" s="2">
        <f>AVERAGE(D464:E464)</f>
        <v>3000</v>
      </c>
      <c r="D464" s="2">
        <f>D462/D463</f>
        <v>3000</v>
      </c>
      <c r="E464" s="2">
        <f>E462/E463</f>
        <v>3000</v>
      </c>
      <c r="F464" s="90" t="s">
        <v>597</v>
      </c>
    </row>
    <row r="465" spans="2:10">
      <c r="B465" s="2"/>
      <c r="C465" s="82">
        <f>C463*C464</f>
        <v>45000000</v>
      </c>
      <c r="D465" s="2"/>
      <c r="E465" s="2"/>
    </row>
    <row r="467" spans="2:10" ht="19.5" thickBot="1"/>
    <row r="468" spans="2:10" ht="19.5" thickBot="1">
      <c r="B468" s="145" t="s">
        <v>601</v>
      </c>
      <c r="C468" s="146"/>
      <c r="D468" s="146"/>
      <c r="E468" s="146"/>
      <c r="F468" s="146"/>
      <c r="G468" s="146"/>
      <c r="H468" s="146"/>
      <c r="I468" s="146"/>
      <c r="J468" s="147"/>
    </row>
    <row r="470" spans="2:10">
      <c r="B470" s="2" t="s">
        <v>598</v>
      </c>
      <c r="C470" s="2">
        <v>2500000</v>
      </c>
    </row>
    <row r="471" spans="2:10">
      <c r="B471" s="2" t="s">
        <v>599</v>
      </c>
      <c r="C471" s="2">
        <v>3.4</v>
      </c>
    </row>
    <row r="472" spans="2:10">
      <c r="B472" s="2" t="s">
        <v>600</v>
      </c>
      <c r="C472" s="2">
        <v>1.7</v>
      </c>
    </row>
    <row r="473" spans="2:10">
      <c r="B473" s="2"/>
      <c r="C473" s="82">
        <f>C470/C471*C472</f>
        <v>1250000</v>
      </c>
    </row>
    <row r="475" spans="2:10" ht="19.5" thickBot="1"/>
    <row r="476" spans="2:10" ht="59.25" customHeight="1" thickBot="1">
      <c r="B476" s="145" t="s">
        <v>688</v>
      </c>
      <c r="C476" s="146"/>
      <c r="D476" s="146"/>
      <c r="E476" s="146"/>
      <c r="F476" s="146"/>
      <c r="G476" s="146"/>
      <c r="H476" s="146"/>
      <c r="I476" s="146"/>
      <c r="J476" s="147"/>
    </row>
    <row r="478" spans="2:10">
      <c r="B478" s="1" t="s">
        <v>670</v>
      </c>
    </row>
  </sheetData>
  <mergeCells count="22">
    <mergeCell ref="B468:J468"/>
    <mergeCell ref="B476:J476"/>
    <mergeCell ref="B60:J60"/>
    <mergeCell ref="B2:J2"/>
    <mergeCell ref="B14:J14"/>
    <mergeCell ref="B29:J29"/>
    <mergeCell ref="B41:J41"/>
    <mergeCell ref="B49:J49"/>
    <mergeCell ref="B166:J166"/>
    <mergeCell ref="B188:J188"/>
    <mergeCell ref="B229:J229"/>
    <mergeCell ref="B295:J295"/>
    <mergeCell ref="B148:J148"/>
    <mergeCell ref="B447:J447"/>
    <mergeCell ref="B178:J178"/>
    <mergeCell ref="B214:J214"/>
    <mergeCell ref="B260:J260"/>
    <mergeCell ref="B307:J307"/>
    <mergeCell ref="B404:J404"/>
    <mergeCell ref="B424:J424"/>
    <mergeCell ref="B318:J318"/>
    <mergeCell ref="B415:J415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24941-AE1C-4D31-8A5F-DA847CCFB49A}">
  <dimension ref="B1:J534"/>
  <sheetViews>
    <sheetView zoomScale="115" zoomScaleNormal="115" workbookViewId="0"/>
  </sheetViews>
  <sheetFormatPr defaultColWidth="9.140625" defaultRowHeight="18.75"/>
  <cols>
    <col min="1" max="1" width="4" style="1" customWidth="1"/>
    <col min="2" max="2" width="45.140625" style="1" bestFit="1" customWidth="1"/>
    <col min="3" max="4" width="20.28515625" style="1" customWidth="1"/>
    <col min="5" max="7" width="18.7109375" style="1" customWidth="1"/>
    <col min="8" max="9" width="18.140625" style="1" customWidth="1"/>
    <col min="10" max="10" width="17.5703125" style="1" customWidth="1"/>
    <col min="11" max="16384" width="9.140625" style="1"/>
  </cols>
  <sheetData>
    <row r="1" spans="2:10" ht="19.5" thickBot="1"/>
    <row r="2" spans="2:10" ht="48.75" customHeight="1" thickBot="1">
      <c r="B2" s="145" t="s">
        <v>689</v>
      </c>
      <c r="C2" s="146"/>
      <c r="D2" s="146"/>
      <c r="E2" s="146"/>
      <c r="F2" s="146"/>
      <c r="G2" s="146"/>
      <c r="H2" s="146"/>
      <c r="I2" s="146"/>
      <c r="J2" s="147"/>
    </row>
    <row r="4" spans="2:10">
      <c r="B4" s="2" t="s">
        <v>412</v>
      </c>
      <c r="C4" s="2">
        <v>410</v>
      </c>
    </row>
    <row r="5" spans="2:10">
      <c r="B5" s="2" t="s">
        <v>18</v>
      </c>
      <c r="C5" s="2">
        <v>7000</v>
      </c>
    </row>
    <row r="6" spans="2:10">
      <c r="B6" s="2" t="s">
        <v>19</v>
      </c>
      <c r="C6" s="82">
        <f>C4*C5</f>
        <v>2870000</v>
      </c>
      <c r="D6" s="90" t="s">
        <v>517</v>
      </c>
    </row>
    <row r="8" spans="2:10" ht="19.5" thickBot="1"/>
    <row r="9" spans="2:10" ht="100.5" customHeight="1" thickBot="1">
      <c r="B9" s="145" t="s">
        <v>100</v>
      </c>
      <c r="C9" s="146"/>
      <c r="D9" s="146"/>
      <c r="E9" s="146"/>
      <c r="F9" s="146"/>
      <c r="G9" s="146"/>
      <c r="H9" s="146"/>
      <c r="I9" s="146"/>
      <c r="J9" s="147"/>
    </row>
    <row r="11" spans="2:10">
      <c r="B11" s="2" t="s">
        <v>20</v>
      </c>
      <c r="C11" s="12">
        <v>30</v>
      </c>
    </row>
    <row r="12" spans="2:10">
      <c r="B12" s="2" t="s">
        <v>21</v>
      </c>
      <c r="C12" s="12">
        <v>60</v>
      </c>
    </row>
    <row r="13" spans="2:10">
      <c r="B13" s="2" t="s">
        <v>22</v>
      </c>
      <c r="C13" s="12">
        <v>3</v>
      </c>
    </row>
    <row r="14" spans="2:10">
      <c r="B14" s="2" t="s">
        <v>23</v>
      </c>
      <c r="C14" s="13">
        <v>0.06</v>
      </c>
    </row>
    <row r="15" spans="2:10">
      <c r="B15" s="2" t="s">
        <v>24</v>
      </c>
      <c r="C15" s="13">
        <v>0.04</v>
      </c>
    </row>
    <row r="16" spans="2:10">
      <c r="B16" s="2" t="s">
        <v>25</v>
      </c>
      <c r="C16" s="13">
        <v>0.03</v>
      </c>
    </row>
    <row r="17" spans="2:10">
      <c r="B17" s="14" t="s">
        <v>26</v>
      </c>
      <c r="C17" s="2"/>
    </row>
    <row r="18" spans="2:10">
      <c r="B18" s="2" t="s">
        <v>28</v>
      </c>
      <c r="C18" s="13">
        <f>C14*C13/12</f>
        <v>1.4999999999999999E-2</v>
      </c>
      <c r="D18" s="90" t="s">
        <v>455</v>
      </c>
    </row>
    <row r="19" spans="2:10">
      <c r="B19" s="2" t="s">
        <v>16</v>
      </c>
      <c r="C19" s="13">
        <f>C14+C15+C16+C18</f>
        <v>0.14500000000000002</v>
      </c>
    </row>
    <row r="20" spans="2:10">
      <c r="B20" s="2" t="s">
        <v>27</v>
      </c>
      <c r="C20" s="2">
        <f>C12-C11</f>
        <v>30</v>
      </c>
    </row>
    <row r="21" spans="2:10">
      <c r="B21" s="2" t="s">
        <v>29</v>
      </c>
      <c r="C21" s="13">
        <f>PMT(C19,C20,,-1)</f>
        <v>2.5394731657926621E-3</v>
      </c>
      <c r="D21" s="90" t="s">
        <v>456</v>
      </c>
    </row>
    <row r="22" spans="2:10">
      <c r="B22" s="2" t="s">
        <v>30</v>
      </c>
      <c r="C22" s="85">
        <f>C19+C21</f>
        <v>0.14753947316579269</v>
      </c>
    </row>
    <row r="24" spans="2:10" ht="19.5" thickBot="1"/>
    <row r="25" spans="2:10" ht="192.75" customHeight="1" thickBot="1">
      <c r="B25" s="145" t="s">
        <v>725</v>
      </c>
      <c r="C25" s="146"/>
      <c r="D25" s="146"/>
      <c r="E25" s="146"/>
      <c r="F25" s="146"/>
      <c r="G25" s="146"/>
      <c r="H25" s="146"/>
      <c r="I25" s="146"/>
      <c r="J25" s="147"/>
    </row>
    <row r="28" spans="2:10">
      <c r="B28" s="2" t="s">
        <v>0</v>
      </c>
      <c r="C28" s="3">
        <v>1</v>
      </c>
      <c r="D28" s="3">
        <v>2</v>
      </c>
      <c r="E28" s="3">
        <v>3</v>
      </c>
      <c r="F28" s="4">
        <v>3</v>
      </c>
      <c r="G28" s="2"/>
    </row>
    <row r="29" spans="2:10">
      <c r="B29" s="2" t="s">
        <v>2</v>
      </c>
      <c r="C29" s="2">
        <v>5000</v>
      </c>
      <c r="D29" s="2">
        <v>5000</v>
      </c>
      <c r="E29" s="2">
        <v>5000</v>
      </c>
      <c r="F29" s="2">
        <v>5000</v>
      </c>
      <c r="G29" s="2"/>
    </row>
    <row r="30" spans="2:10">
      <c r="B30" s="2" t="s">
        <v>3</v>
      </c>
      <c r="C30" s="2">
        <v>4000</v>
      </c>
      <c r="D30" s="2">
        <v>4000</v>
      </c>
      <c r="E30" s="2">
        <v>4000</v>
      </c>
      <c r="F30" s="2">
        <v>4000</v>
      </c>
      <c r="G30" s="2"/>
    </row>
    <row r="31" spans="2:10">
      <c r="B31" s="2" t="s">
        <v>457</v>
      </c>
      <c r="C31" s="5">
        <v>0.7</v>
      </c>
      <c r="D31" s="5">
        <v>0.5</v>
      </c>
      <c r="E31" s="5">
        <v>1</v>
      </c>
      <c r="F31" s="5">
        <v>1</v>
      </c>
      <c r="G31" s="2"/>
    </row>
    <row r="32" spans="2:10">
      <c r="B32" s="2" t="s">
        <v>5</v>
      </c>
      <c r="C32" s="2">
        <f>C30*C31</f>
        <v>2800</v>
      </c>
      <c r="D32" s="2">
        <f t="shared" ref="D32:F32" si="0">D30*D31</f>
        <v>2000</v>
      </c>
      <c r="E32" s="2">
        <f t="shared" si="0"/>
        <v>4000</v>
      </c>
      <c r="F32" s="2">
        <f t="shared" si="0"/>
        <v>4000</v>
      </c>
      <c r="G32" s="2"/>
    </row>
    <row r="33" spans="2:10">
      <c r="B33" s="2" t="s">
        <v>13</v>
      </c>
      <c r="C33" s="2">
        <v>25000</v>
      </c>
      <c r="D33" s="2">
        <v>25000</v>
      </c>
      <c r="E33" s="2">
        <v>10000</v>
      </c>
      <c r="F33" s="2">
        <v>30000</v>
      </c>
      <c r="G33" s="2"/>
    </row>
    <row r="34" spans="2:10">
      <c r="B34" s="2" t="s">
        <v>7</v>
      </c>
      <c r="C34" s="7">
        <f>C32*C33</f>
        <v>70000000</v>
      </c>
      <c r="D34" s="7">
        <f t="shared" ref="D34:F34" si="1">D32*D33</f>
        <v>50000000</v>
      </c>
      <c r="E34" s="7">
        <f t="shared" si="1"/>
        <v>40000000</v>
      </c>
      <c r="F34" s="7">
        <f t="shared" si="1"/>
        <v>120000000</v>
      </c>
      <c r="G34" s="2"/>
    </row>
    <row r="35" spans="2:10">
      <c r="B35" s="2" t="s">
        <v>12</v>
      </c>
      <c r="C35" s="2">
        <v>2000</v>
      </c>
      <c r="D35" s="2">
        <v>2000</v>
      </c>
      <c r="E35" s="2">
        <v>2000</v>
      </c>
      <c r="F35" s="2">
        <v>2000</v>
      </c>
      <c r="G35" s="2"/>
    </row>
    <row r="36" spans="2:10">
      <c r="B36" s="2" t="s">
        <v>6</v>
      </c>
      <c r="C36" s="7">
        <f>C32*C35</f>
        <v>5600000</v>
      </c>
      <c r="D36" s="7">
        <f t="shared" ref="D36:F36" si="2">D32*D35</f>
        <v>4000000</v>
      </c>
      <c r="E36" s="7">
        <f t="shared" si="2"/>
        <v>8000000</v>
      </c>
      <c r="F36" s="7">
        <f t="shared" si="2"/>
        <v>8000000</v>
      </c>
      <c r="G36" s="2"/>
    </row>
    <row r="37" spans="2:10">
      <c r="B37" s="2" t="s">
        <v>8</v>
      </c>
      <c r="C37" s="7">
        <f>C34+C36</f>
        <v>75600000</v>
      </c>
      <c r="D37" s="7">
        <f t="shared" ref="D37:F37" si="3">D34+D36</f>
        <v>54000000</v>
      </c>
      <c r="E37" s="7">
        <f t="shared" si="3"/>
        <v>48000000</v>
      </c>
      <c r="F37" s="7">
        <f t="shared" si="3"/>
        <v>128000000</v>
      </c>
      <c r="G37" s="2"/>
    </row>
    <row r="38" spans="2:10">
      <c r="B38" s="2" t="s">
        <v>11</v>
      </c>
      <c r="C38" s="2">
        <v>8000</v>
      </c>
      <c r="D38" s="2">
        <v>8000</v>
      </c>
      <c r="E38" s="2">
        <v>8000</v>
      </c>
      <c r="F38" s="2">
        <v>8000</v>
      </c>
      <c r="G38" s="2"/>
    </row>
    <row r="39" spans="2:10">
      <c r="B39" s="2" t="s">
        <v>9</v>
      </c>
      <c r="C39" s="8">
        <f>C38*C29</f>
        <v>40000000</v>
      </c>
      <c r="D39" s="8">
        <f t="shared" ref="D39:F39" si="4">D38*D29</f>
        <v>40000000</v>
      </c>
      <c r="E39" s="8">
        <f t="shared" si="4"/>
        <v>40000000</v>
      </c>
      <c r="F39" s="8">
        <f t="shared" si="4"/>
        <v>40000000</v>
      </c>
      <c r="G39" s="2"/>
    </row>
    <row r="40" spans="2:10">
      <c r="B40" s="2" t="s">
        <v>10</v>
      </c>
      <c r="C40" s="2">
        <f>C37-C39</f>
        <v>35600000</v>
      </c>
      <c r="D40" s="2">
        <f t="shared" ref="D40:F40" si="5">D37-D39</f>
        <v>14000000</v>
      </c>
      <c r="E40" s="2">
        <f t="shared" si="5"/>
        <v>8000000</v>
      </c>
      <c r="F40" s="6">
        <f t="shared" si="5"/>
        <v>88000000</v>
      </c>
      <c r="G40" s="2"/>
    </row>
    <row r="41" spans="2:10">
      <c r="B41" s="2" t="s">
        <v>14</v>
      </c>
      <c r="C41" s="2"/>
      <c r="D41" s="2"/>
      <c r="E41" s="2"/>
      <c r="F41" s="5">
        <v>0.12</v>
      </c>
      <c r="G41" s="2"/>
    </row>
    <row r="42" spans="2:10">
      <c r="B42" s="2" t="s">
        <v>15</v>
      </c>
      <c r="C42" s="2"/>
      <c r="D42" s="2"/>
      <c r="E42" s="2"/>
      <c r="F42" s="2">
        <f>F40/F41</f>
        <v>733333333.33333337</v>
      </c>
      <c r="G42" s="2"/>
    </row>
    <row r="43" spans="2:10">
      <c r="B43" s="2" t="s">
        <v>16</v>
      </c>
      <c r="C43" s="5">
        <v>0.14000000000000001</v>
      </c>
      <c r="D43" s="5">
        <v>0.14000000000000001</v>
      </c>
      <c r="E43" s="5">
        <v>0.14000000000000001</v>
      </c>
      <c r="F43" s="5">
        <v>0.14000000000000001</v>
      </c>
      <c r="G43" s="2"/>
    </row>
    <row r="44" spans="2:10">
      <c r="B44" s="2" t="s">
        <v>17</v>
      </c>
      <c r="C44" s="2">
        <f>C40/(1+C43)^C28</f>
        <v>31228070.175438594</v>
      </c>
      <c r="D44" s="2">
        <f>D40/(1+D43)^D28</f>
        <v>10772545.398584178</v>
      </c>
      <c r="E44" s="2">
        <f>E40/(1+E43)^E28</f>
        <v>5399772.1296161283</v>
      </c>
      <c r="F44" s="9">
        <f>F42/(1+F43)^E28</f>
        <v>494979111.88147849</v>
      </c>
      <c r="G44" s="82">
        <f>ROUND(C44+D44+E44+F44,-6)</f>
        <v>542000000</v>
      </c>
    </row>
    <row r="46" spans="2:10" ht="19.5" thickBot="1"/>
    <row r="47" spans="2:10" ht="77.25" customHeight="1" thickBot="1">
      <c r="B47" s="145" t="s">
        <v>101</v>
      </c>
      <c r="C47" s="146"/>
      <c r="D47" s="146"/>
      <c r="E47" s="146"/>
      <c r="F47" s="146"/>
      <c r="G47" s="146"/>
      <c r="H47" s="146"/>
      <c r="I47" s="146"/>
      <c r="J47" s="147"/>
    </row>
    <row r="50" spans="2:3">
      <c r="B50" s="2" t="s">
        <v>31</v>
      </c>
      <c r="C50" s="2">
        <v>300000</v>
      </c>
    </row>
    <row r="51" spans="2:3">
      <c r="B51" s="2" t="s">
        <v>32</v>
      </c>
      <c r="C51" s="2">
        <v>600000</v>
      </c>
    </row>
    <row r="52" spans="2:3">
      <c r="B52" s="2" t="s">
        <v>33</v>
      </c>
      <c r="C52" s="5">
        <v>0.1</v>
      </c>
    </row>
    <row r="53" spans="2:3">
      <c r="B53" s="2" t="s">
        <v>34</v>
      </c>
      <c r="C53" s="5">
        <v>0.15</v>
      </c>
    </row>
    <row r="54" spans="2:3">
      <c r="B54" s="14" t="s">
        <v>35</v>
      </c>
      <c r="C54" s="2"/>
    </row>
    <row r="55" spans="2:3">
      <c r="B55" s="2" t="s">
        <v>36</v>
      </c>
      <c r="C55" s="2">
        <f>C51*C53</f>
        <v>90000</v>
      </c>
    </row>
    <row r="56" spans="2:3">
      <c r="B56" s="2" t="s">
        <v>37</v>
      </c>
      <c r="C56" s="82">
        <f>C50-C55</f>
        <v>210000</v>
      </c>
    </row>
    <row r="67" spans="2:10" ht="19.5" thickBot="1"/>
    <row r="68" spans="2:10" ht="96" customHeight="1" thickBot="1">
      <c r="B68" s="145" t="s">
        <v>102</v>
      </c>
      <c r="C68" s="146"/>
      <c r="D68" s="146"/>
      <c r="E68" s="146"/>
      <c r="F68" s="146"/>
      <c r="G68" s="146"/>
      <c r="H68" s="146"/>
      <c r="I68" s="146"/>
      <c r="J68" s="147"/>
    </row>
    <row r="71" spans="2:10">
      <c r="B71" s="90" t="s">
        <v>41</v>
      </c>
    </row>
    <row r="73" spans="2:10">
      <c r="B73" s="2" t="s">
        <v>38</v>
      </c>
      <c r="C73" s="2">
        <v>2000000</v>
      </c>
    </row>
    <row r="74" spans="2:10">
      <c r="B74" s="2" t="s">
        <v>39</v>
      </c>
      <c r="C74" s="2">
        <v>500000</v>
      </c>
    </row>
    <row r="75" spans="2:10">
      <c r="B75" s="2" t="s">
        <v>42</v>
      </c>
      <c r="C75" s="5">
        <v>0.2</v>
      </c>
    </row>
    <row r="76" spans="2:10">
      <c r="B76" s="2" t="s">
        <v>44</v>
      </c>
      <c r="C76" s="5">
        <v>0.25</v>
      </c>
    </row>
    <row r="77" spans="2:10">
      <c r="B77" s="14" t="s">
        <v>35</v>
      </c>
      <c r="C77" s="2"/>
    </row>
    <row r="78" spans="2:10">
      <c r="B78" s="2" t="s">
        <v>40</v>
      </c>
      <c r="C78" s="2">
        <f>C74*C75</f>
        <v>100000</v>
      </c>
    </row>
    <row r="79" spans="2:10">
      <c r="B79" s="2" t="s">
        <v>43</v>
      </c>
      <c r="C79" s="2">
        <f>C73*C76</f>
        <v>500000</v>
      </c>
    </row>
    <row r="80" spans="2:10">
      <c r="B80" s="2" t="s">
        <v>45</v>
      </c>
      <c r="C80" s="82">
        <f>C73-C74-C78-C79</f>
        <v>900000</v>
      </c>
    </row>
    <row r="82" spans="2:10" ht="19.5" thickBot="1"/>
    <row r="83" spans="2:10" ht="147" customHeight="1" thickBot="1">
      <c r="B83" s="145" t="s">
        <v>690</v>
      </c>
      <c r="C83" s="146"/>
      <c r="D83" s="146"/>
      <c r="E83" s="146"/>
      <c r="F83" s="146"/>
      <c r="G83" s="146"/>
      <c r="H83" s="146"/>
      <c r="I83" s="146"/>
      <c r="J83" s="147"/>
    </row>
    <row r="86" spans="2:10">
      <c r="B86" s="2" t="s">
        <v>0</v>
      </c>
      <c r="C86" s="16">
        <v>1</v>
      </c>
      <c r="D86" s="16">
        <v>2</v>
      </c>
      <c r="E86" s="16">
        <v>3</v>
      </c>
      <c r="F86" s="17" t="s">
        <v>1</v>
      </c>
    </row>
    <row r="87" spans="2:10">
      <c r="B87" s="2" t="s">
        <v>46</v>
      </c>
      <c r="C87" s="2">
        <v>-200000000</v>
      </c>
      <c r="D87" s="2">
        <v>-200000000</v>
      </c>
      <c r="E87" s="2"/>
      <c r="F87" s="2"/>
    </row>
    <row r="88" spans="2:10">
      <c r="B88" s="2" t="s">
        <v>3</v>
      </c>
      <c r="C88" s="2"/>
      <c r="D88" s="2"/>
      <c r="E88" s="2">
        <v>4500</v>
      </c>
      <c r="F88" s="2">
        <v>4500</v>
      </c>
    </row>
    <row r="89" spans="2:10">
      <c r="B89" s="2" t="s">
        <v>47</v>
      </c>
      <c r="C89" s="2"/>
      <c r="D89" s="2"/>
      <c r="E89" s="2">
        <v>20000</v>
      </c>
      <c r="F89" s="2">
        <v>20000</v>
      </c>
    </row>
    <row r="90" spans="2:10">
      <c r="B90" s="2" t="s">
        <v>48</v>
      </c>
      <c r="C90" s="2"/>
      <c r="D90" s="2"/>
      <c r="E90" s="5">
        <v>0.7</v>
      </c>
      <c r="F90" s="5">
        <v>0.85</v>
      </c>
    </row>
    <row r="91" spans="2:10">
      <c r="B91" s="2" t="s">
        <v>726</v>
      </c>
      <c r="C91" s="2"/>
      <c r="D91" s="2"/>
      <c r="E91" s="2">
        <f>E88*E89*E90</f>
        <v>62999999.999999993</v>
      </c>
      <c r="F91" s="2">
        <f>F88*F89*F90</f>
        <v>76500000</v>
      </c>
    </row>
    <row r="92" spans="2:10">
      <c r="B92" s="2" t="s">
        <v>14</v>
      </c>
      <c r="C92" s="2"/>
      <c r="D92" s="2"/>
      <c r="E92" s="2"/>
      <c r="F92" s="5">
        <v>0.1</v>
      </c>
    </row>
    <row r="93" spans="2:10">
      <c r="B93" s="2" t="s">
        <v>15</v>
      </c>
      <c r="C93" s="2"/>
      <c r="D93" s="2"/>
      <c r="E93" s="2"/>
      <c r="F93" s="2">
        <f>F91/F92</f>
        <v>765000000</v>
      </c>
    </row>
    <row r="94" spans="2:10">
      <c r="B94" s="2" t="s">
        <v>50</v>
      </c>
      <c r="C94" s="2">
        <f>C87</f>
        <v>-200000000</v>
      </c>
      <c r="D94" s="2">
        <f>D87</f>
        <v>-200000000</v>
      </c>
      <c r="E94" s="2">
        <f>E91</f>
        <v>62999999.999999993</v>
      </c>
      <c r="F94" s="2">
        <f>F93</f>
        <v>765000000</v>
      </c>
    </row>
    <row r="95" spans="2:10">
      <c r="B95" s="2" t="s">
        <v>16</v>
      </c>
      <c r="C95" s="5">
        <v>0.21</v>
      </c>
      <c r="D95" s="5">
        <v>0.21</v>
      </c>
      <c r="E95" s="5">
        <v>0.16</v>
      </c>
      <c r="F95" s="2"/>
    </row>
    <row r="96" spans="2:10">
      <c r="B96" s="2" t="s">
        <v>54</v>
      </c>
      <c r="C96" s="114">
        <f>1/(1+C95)</f>
        <v>0.82644628099173556</v>
      </c>
      <c r="D96" s="114">
        <f>1/(1+D95)</f>
        <v>0.82644628099173556</v>
      </c>
      <c r="E96" s="114">
        <f>1/(1+E95)</f>
        <v>0.86206896551724144</v>
      </c>
      <c r="F96" s="114"/>
    </row>
    <row r="97" spans="2:10">
      <c r="B97" s="2" t="s">
        <v>51</v>
      </c>
      <c r="C97" s="114">
        <f>C96</f>
        <v>0.82644628099173556</v>
      </c>
      <c r="D97" s="114">
        <f>C96*D96</f>
        <v>0.68301345536507074</v>
      </c>
      <c r="E97" s="114">
        <f>C96*D96*E96</f>
        <v>0.58880470290092313</v>
      </c>
      <c r="F97" s="114">
        <f>E97</f>
        <v>0.58880470290092313</v>
      </c>
    </row>
    <row r="98" spans="2:10">
      <c r="B98" s="2" t="s">
        <v>52</v>
      </c>
      <c r="C98" s="2">
        <f>C94*C97</f>
        <v>-165289256.19834712</v>
      </c>
      <c r="D98" s="2">
        <f>D94*D97</f>
        <v>-136602691.07301414</v>
      </c>
      <c r="E98" s="2">
        <f>E94*E97</f>
        <v>37094696.282758154</v>
      </c>
      <c r="F98" s="2">
        <f>F94*F97</f>
        <v>450435597.71920621</v>
      </c>
    </row>
    <row r="99" spans="2:10">
      <c r="B99" s="2" t="s">
        <v>53</v>
      </c>
      <c r="C99" s="82">
        <f>C98+D98+E98+F98</f>
        <v>185638346.73060313</v>
      </c>
      <c r="D99" s="2"/>
      <c r="E99" s="2"/>
      <c r="F99" s="2"/>
    </row>
    <row r="101" spans="2:10" ht="19.5" thickBot="1"/>
    <row r="102" spans="2:10" ht="39.75" customHeight="1" thickBot="1">
      <c r="B102" s="145" t="s">
        <v>103</v>
      </c>
      <c r="C102" s="146"/>
      <c r="D102" s="146"/>
      <c r="E102" s="146"/>
      <c r="F102" s="146"/>
      <c r="G102" s="146"/>
      <c r="H102" s="146"/>
      <c r="I102" s="146"/>
      <c r="J102" s="147"/>
    </row>
    <row r="105" spans="2:10">
      <c r="B105" s="2" t="s">
        <v>55</v>
      </c>
      <c r="C105" s="2">
        <v>150000</v>
      </c>
    </row>
    <row r="106" spans="2:10">
      <c r="B106" s="2" t="s">
        <v>38</v>
      </c>
      <c r="C106" s="2">
        <v>1000000</v>
      </c>
    </row>
    <row r="107" spans="2:10">
      <c r="B107" s="2" t="s">
        <v>30</v>
      </c>
      <c r="C107" s="117">
        <f>C105/C106</f>
        <v>0.15</v>
      </c>
    </row>
    <row r="109" spans="2:10">
      <c r="B109" s="90" t="s">
        <v>518</v>
      </c>
    </row>
    <row r="111" spans="2:10" ht="19.5" thickBot="1"/>
    <row r="112" spans="2:10" ht="59.25" customHeight="1" thickBot="1">
      <c r="B112" s="145" t="s">
        <v>104</v>
      </c>
      <c r="C112" s="146"/>
      <c r="D112" s="146"/>
      <c r="E112" s="146"/>
      <c r="F112" s="146"/>
      <c r="G112" s="146"/>
      <c r="H112" s="146"/>
      <c r="I112" s="146"/>
      <c r="J112" s="147"/>
    </row>
    <row r="115" spans="2:9">
      <c r="B115" s="2" t="s">
        <v>535</v>
      </c>
      <c r="C115" s="2">
        <v>220000</v>
      </c>
    </row>
    <row r="116" spans="2:9">
      <c r="B116" s="2" t="s">
        <v>56</v>
      </c>
      <c r="C116" s="2">
        <v>100000</v>
      </c>
    </row>
    <row r="117" spans="2:9">
      <c r="B117" s="2" t="s">
        <v>55</v>
      </c>
      <c r="C117" s="2">
        <v>35000</v>
      </c>
    </row>
    <row r="118" spans="2:9">
      <c r="B118" s="2" t="s">
        <v>458</v>
      </c>
      <c r="C118" s="5">
        <v>0.15</v>
      </c>
      <c r="D118" s="135">
        <f>C117/C118</f>
        <v>233333.33333333334</v>
      </c>
      <c r="E118" s="90" t="s">
        <v>671</v>
      </c>
    </row>
    <row r="119" spans="2:9">
      <c r="B119" s="2" t="s">
        <v>57</v>
      </c>
      <c r="C119" s="12">
        <v>10</v>
      </c>
    </row>
    <row r="120" spans="2:9">
      <c r="B120" s="2" t="s">
        <v>58</v>
      </c>
      <c r="C120" s="5">
        <v>0.12</v>
      </c>
    </row>
    <row r="121" spans="2:9">
      <c r="B121" s="2" t="s">
        <v>59</v>
      </c>
      <c r="C121" s="15">
        <f>PMT(C120,C119,C116)</f>
        <v>-17698.416415984408</v>
      </c>
    </row>
    <row r="124" spans="2:9">
      <c r="B124" s="2" t="s">
        <v>0</v>
      </c>
      <c r="C124" s="3">
        <v>1</v>
      </c>
      <c r="D124" s="3">
        <v>2</v>
      </c>
      <c r="E124" s="3">
        <v>3</v>
      </c>
      <c r="F124" s="3">
        <v>4</v>
      </c>
      <c r="G124" s="3">
        <v>5</v>
      </c>
      <c r="H124" s="3">
        <v>6</v>
      </c>
      <c r="I124" s="19" t="s">
        <v>60</v>
      </c>
    </row>
    <row r="125" spans="2:9">
      <c r="B125" s="2" t="s">
        <v>61</v>
      </c>
      <c r="C125" s="2">
        <v>35000</v>
      </c>
      <c r="D125" s="2">
        <v>35000</v>
      </c>
      <c r="E125" s="2">
        <v>35000</v>
      </c>
      <c r="F125" s="2">
        <v>35000</v>
      </c>
      <c r="G125" s="2">
        <v>35000</v>
      </c>
      <c r="H125" s="2">
        <v>35000</v>
      </c>
      <c r="I125" s="2">
        <v>220000</v>
      </c>
    </row>
    <row r="126" spans="2:9">
      <c r="B126" s="2" t="s">
        <v>62</v>
      </c>
      <c r="C126" s="2">
        <f>C121</f>
        <v>-17698.416415984408</v>
      </c>
      <c r="D126" s="2">
        <f>C121</f>
        <v>-17698.416415984408</v>
      </c>
      <c r="E126" s="2">
        <f>C121</f>
        <v>-17698.416415984408</v>
      </c>
      <c r="F126" s="2">
        <f>C121</f>
        <v>-17698.416415984408</v>
      </c>
      <c r="G126" s="2">
        <f>C121</f>
        <v>-17698.416415984408</v>
      </c>
      <c r="H126" s="2">
        <f>C121</f>
        <v>-17698.416415984408</v>
      </c>
      <c r="I126" s="2">
        <f>PV(C120,4,-C121)</f>
        <v>-53756.273537412315</v>
      </c>
    </row>
    <row r="127" spans="2:9">
      <c r="B127" s="2" t="s">
        <v>63</v>
      </c>
      <c r="C127" s="2">
        <f t="shared" ref="C127:I127" si="6">C125+C126</f>
        <v>17301.583584015592</v>
      </c>
      <c r="D127" s="2">
        <f t="shared" si="6"/>
        <v>17301.583584015592</v>
      </c>
      <c r="E127" s="2">
        <f t="shared" si="6"/>
        <v>17301.583584015592</v>
      </c>
      <c r="F127" s="2">
        <f t="shared" si="6"/>
        <v>17301.583584015592</v>
      </c>
      <c r="G127" s="2">
        <f t="shared" si="6"/>
        <v>17301.583584015592</v>
      </c>
      <c r="H127" s="2">
        <f t="shared" si="6"/>
        <v>17301.583584015592</v>
      </c>
      <c r="I127" s="2">
        <f t="shared" si="6"/>
        <v>166243.72646258769</v>
      </c>
    </row>
    <row r="128" spans="2:9">
      <c r="B128" s="2" t="s">
        <v>533</v>
      </c>
      <c r="C128" s="5">
        <v>0.15</v>
      </c>
      <c r="D128" s="5">
        <v>0.15</v>
      </c>
      <c r="E128" s="5">
        <v>0.15</v>
      </c>
      <c r="F128" s="5">
        <v>0.15</v>
      </c>
      <c r="G128" s="5">
        <v>0.15</v>
      </c>
      <c r="H128" s="5">
        <v>0.15</v>
      </c>
      <c r="I128" s="2"/>
    </row>
    <row r="129" spans="2:10">
      <c r="B129" s="2"/>
      <c r="C129" s="18">
        <f>1/(1+C128)^C124</f>
        <v>0.86956521739130443</v>
      </c>
      <c r="D129" s="18">
        <f t="shared" ref="D129:H129" si="7">1/(1+D128)^D124</f>
        <v>0.7561436672967865</v>
      </c>
      <c r="E129" s="18">
        <f t="shared" si="7"/>
        <v>0.65751623243198831</v>
      </c>
      <c r="F129" s="18">
        <f t="shared" si="7"/>
        <v>0.57175324559303342</v>
      </c>
      <c r="G129" s="18">
        <f t="shared" si="7"/>
        <v>0.49717673529828987</v>
      </c>
      <c r="H129" s="18">
        <f t="shared" si="7"/>
        <v>0.43232759591155645</v>
      </c>
      <c r="I129" s="18">
        <f>H129</f>
        <v>0.43232759591155645</v>
      </c>
    </row>
    <row r="130" spans="2:10">
      <c r="B130" s="2"/>
      <c r="C130" s="2">
        <f>C127*C129</f>
        <v>15044.855290448342</v>
      </c>
      <c r="D130" s="2">
        <f t="shared" ref="D130:I130" si="8">D127*D129</f>
        <v>13082.482861259428</v>
      </c>
      <c r="E130" s="2">
        <f t="shared" si="8"/>
        <v>11376.07205326907</v>
      </c>
      <c r="F130" s="2">
        <f t="shared" si="8"/>
        <v>9892.2365680600615</v>
      </c>
      <c r="G130" s="2">
        <f t="shared" si="8"/>
        <v>8601.9448417913572</v>
      </c>
      <c r="H130" s="2">
        <f t="shared" si="8"/>
        <v>7479.9520363403117</v>
      </c>
      <c r="I130" s="2">
        <f t="shared" si="8"/>
        <v>71871.750596948928</v>
      </c>
    </row>
    <row r="131" spans="2:10">
      <c r="B131" s="2" t="s">
        <v>64</v>
      </c>
      <c r="C131" s="2">
        <f>SUM(C130:I130)</f>
        <v>137349.29424811751</v>
      </c>
      <c r="D131" s="2"/>
      <c r="E131" s="2"/>
      <c r="F131" s="2"/>
      <c r="G131" s="2"/>
      <c r="H131" s="2"/>
      <c r="I131" s="2"/>
    </row>
    <row r="132" spans="2:10">
      <c r="B132" s="2" t="s">
        <v>65</v>
      </c>
      <c r="C132" s="82">
        <f>C131+C116</f>
        <v>237349.29424811751</v>
      </c>
      <c r="D132" s="2"/>
      <c r="E132" s="2"/>
      <c r="F132" s="2"/>
      <c r="G132" s="2"/>
      <c r="H132" s="2"/>
      <c r="I132" s="2"/>
    </row>
    <row r="134" spans="2:10">
      <c r="B134" s="11" t="s">
        <v>66</v>
      </c>
    </row>
    <row r="135" spans="2:10">
      <c r="B135" s="2" t="s">
        <v>67</v>
      </c>
      <c r="C135" s="15">
        <f>PV(15%,6,-C127)</f>
        <v>65477.54365116854</v>
      </c>
    </row>
    <row r="136" spans="2:10">
      <c r="B136" s="2" t="s">
        <v>534</v>
      </c>
      <c r="C136" s="2">
        <f>PV(C120,4,C121)</f>
        <v>53756.273537412315</v>
      </c>
      <c r="D136" s="90" t="s">
        <v>691</v>
      </c>
    </row>
    <row r="137" spans="2:10">
      <c r="B137" s="2" t="s">
        <v>468</v>
      </c>
      <c r="C137" s="2">
        <f>C115-C136</f>
        <v>166243.72646258769</v>
      </c>
    </row>
    <row r="138" spans="2:10">
      <c r="B138" s="2" t="s">
        <v>68</v>
      </c>
      <c r="C138" s="15">
        <f>PV(15%,6,,-C137)</f>
        <v>71871.750596948928</v>
      </c>
    </row>
    <row r="139" spans="2:10">
      <c r="B139" s="2" t="s">
        <v>69</v>
      </c>
      <c r="C139" s="2">
        <f>C135+C138</f>
        <v>137349.29424811748</v>
      </c>
    </row>
    <row r="140" spans="2:10">
      <c r="B140" s="2" t="s">
        <v>65</v>
      </c>
      <c r="C140" s="82">
        <f>C139+C116</f>
        <v>237349.29424811748</v>
      </c>
    </row>
    <row r="142" spans="2:10" ht="19.5" thickBot="1"/>
    <row r="143" spans="2:10" ht="96.75" customHeight="1" thickBot="1">
      <c r="B143" s="145" t="s">
        <v>105</v>
      </c>
      <c r="C143" s="146"/>
      <c r="D143" s="146"/>
      <c r="E143" s="146"/>
      <c r="F143" s="146"/>
      <c r="G143" s="146"/>
      <c r="H143" s="146"/>
      <c r="I143" s="146"/>
      <c r="J143" s="147"/>
    </row>
    <row r="145" spans="2:10">
      <c r="B145" s="2" t="s">
        <v>70</v>
      </c>
      <c r="C145" s="2">
        <v>2800000</v>
      </c>
    </row>
    <row r="146" spans="2:10">
      <c r="B146" s="2" t="s">
        <v>71</v>
      </c>
      <c r="C146" s="2">
        <v>4</v>
      </c>
    </row>
    <row r="147" spans="2:10">
      <c r="B147" s="2" t="s">
        <v>72</v>
      </c>
      <c r="C147" s="5">
        <v>0.26</v>
      </c>
    </row>
    <row r="148" spans="2:10">
      <c r="B148" s="2" t="s">
        <v>17</v>
      </c>
      <c r="C148" s="82">
        <f>PV(C147,C146,,-C145)</f>
        <v>1110902.2614859517</v>
      </c>
    </row>
    <row r="150" spans="2:10">
      <c r="B150" s="90" t="s">
        <v>519</v>
      </c>
    </row>
    <row r="152" spans="2:10" ht="19.5" thickBot="1"/>
    <row r="153" spans="2:10" ht="40.5" customHeight="1" thickBot="1">
      <c r="B153" s="145" t="s">
        <v>692</v>
      </c>
      <c r="C153" s="146"/>
      <c r="D153" s="146"/>
      <c r="E153" s="146"/>
      <c r="F153" s="146"/>
      <c r="G153" s="146"/>
      <c r="H153" s="146"/>
      <c r="I153" s="146"/>
      <c r="J153" s="147"/>
    </row>
    <row r="155" spans="2:10">
      <c r="B155" s="2" t="s">
        <v>73</v>
      </c>
      <c r="C155" s="13">
        <v>3.1E-2</v>
      </c>
    </row>
    <row r="156" spans="2:10">
      <c r="B156" s="2" t="s">
        <v>74</v>
      </c>
      <c r="C156" s="13">
        <v>2.5000000000000001E-2</v>
      </c>
    </row>
    <row r="157" spans="2:10">
      <c r="B157" s="2" t="s">
        <v>25</v>
      </c>
      <c r="C157" s="13">
        <v>2.5000000000000001E-2</v>
      </c>
    </row>
    <row r="158" spans="2:10">
      <c r="B158" s="2" t="s">
        <v>22</v>
      </c>
      <c r="C158" s="2">
        <v>4</v>
      </c>
    </row>
    <row r="159" spans="2:10">
      <c r="B159" s="14" t="s">
        <v>35</v>
      </c>
      <c r="C159" s="2"/>
    </row>
    <row r="160" spans="2:10">
      <c r="B160" s="2" t="s">
        <v>28</v>
      </c>
      <c r="C160" s="13">
        <f>C155*C158/12</f>
        <v>1.0333333333333333E-2</v>
      </c>
      <c r="D160" s="90" t="s">
        <v>521</v>
      </c>
    </row>
    <row r="161" spans="2:10">
      <c r="B161" s="2" t="s">
        <v>16</v>
      </c>
      <c r="C161" s="85">
        <f>C155+C156+C157+C160</f>
        <v>9.1333333333333336E-2</v>
      </c>
    </row>
    <row r="163" spans="2:10">
      <c r="B163" s="90" t="s">
        <v>520</v>
      </c>
    </row>
    <row r="165" spans="2:10" ht="19.5" thickBot="1"/>
    <row r="166" spans="2:10" ht="59.25" customHeight="1" thickBot="1">
      <c r="B166" s="145" t="s">
        <v>522</v>
      </c>
      <c r="C166" s="146"/>
      <c r="D166" s="146"/>
      <c r="E166" s="146"/>
      <c r="F166" s="146"/>
      <c r="G166" s="146"/>
      <c r="H166" s="146"/>
      <c r="I166" s="146"/>
      <c r="J166" s="147"/>
    </row>
    <row r="168" spans="2:10">
      <c r="B168" s="2" t="s">
        <v>75</v>
      </c>
      <c r="C168" s="2">
        <v>100</v>
      </c>
    </row>
    <row r="169" spans="2:10">
      <c r="B169" s="2" t="s">
        <v>76</v>
      </c>
      <c r="C169" s="2">
        <v>1000</v>
      </c>
    </row>
    <row r="170" spans="2:10">
      <c r="B170" s="2" t="s">
        <v>77</v>
      </c>
      <c r="C170" s="2">
        <v>100</v>
      </c>
    </row>
    <row r="171" spans="2:10">
      <c r="B171" s="2" t="s">
        <v>78</v>
      </c>
      <c r="C171" s="2">
        <v>5</v>
      </c>
    </row>
    <row r="172" spans="2:10">
      <c r="B172" s="14" t="s">
        <v>35</v>
      </c>
      <c r="C172" s="2"/>
    </row>
    <row r="173" spans="2:10">
      <c r="B173" s="2" t="s">
        <v>79</v>
      </c>
      <c r="C173" s="2">
        <f>(C169+C170)*12*C168</f>
        <v>1320000</v>
      </c>
    </row>
    <row r="174" spans="2:10">
      <c r="B174" s="2" t="s">
        <v>80</v>
      </c>
      <c r="C174" s="82">
        <f>C173*C171</f>
        <v>6600000</v>
      </c>
    </row>
    <row r="176" spans="2:10">
      <c r="B176" s="90" t="s">
        <v>523</v>
      </c>
    </row>
    <row r="178" spans="2:10" ht="19.5" thickBot="1"/>
    <row r="179" spans="2:10" ht="58.5" customHeight="1" thickBot="1">
      <c r="B179" s="145" t="s">
        <v>106</v>
      </c>
      <c r="C179" s="146"/>
      <c r="D179" s="146"/>
      <c r="E179" s="146"/>
      <c r="F179" s="146"/>
      <c r="G179" s="146"/>
      <c r="H179" s="146"/>
      <c r="I179" s="146"/>
      <c r="J179" s="147"/>
    </row>
    <row r="181" spans="2:10">
      <c r="B181" s="2" t="s">
        <v>38</v>
      </c>
      <c r="C181" s="2">
        <v>2000000</v>
      </c>
    </row>
    <row r="182" spans="2:10">
      <c r="B182" s="2" t="s">
        <v>81</v>
      </c>
      <c r="C182" s="2">
        <v>1500000</v>
      </c>
    </row>
    <row r="183" spans="2:10">
      <c r="B183" s="2" t="s">
        <v>31</v>
      </c>
      <c r="C183" s="2">
        <v>200000</v>
      </c>
    </row>
    <row r="184" spans="2:10">
      <c r="B184" s="2" t="s">
        <v>82</v>
      </c>
      <c r="C184" s="5">
        <v>0.12</v>
      </c>
    </row>
    <row r="185" spans="2:10">
      <c r="B185" s="14" t="s">
        <v>35</v>
      </c>
      <c r="C185" s="2"/>
    </row>
    <row r="186" spans="2:10">
      <c r="B186" s="2" t="s">
        <v>83</v>
      </c>
      <c r="C186" s="2">
        <f>C182*C184</f>
        <v>180000</v>
      </c>
    </row>
    <row r="187" spans="2:10">
      <c r="B187" s="2" t="s">
        <v>84</v>
      </c>
      <c r="C187" s="2">
        <f>C183-C186</f>
        <v>20000</v>
      </c>
    </row>
    <row r="188" spans="2:10">
      <c r="B188" s="2" t="s">
        <v>45</v>
      </c>
      <c r="C188" s="2">
        <f>C181-C182</f>
        <v>500000</v>
      </c>
    </row>
    <row r="189" spans="2:10">
      <c r="B189" s="2" t="s">
        <v>85</v>
      </c>
      <c r="C189" s="85">
        <f>C187/C188</f>
        <v>0.04</v>
      </c>
    </row>
    <row r="191" spans="2:10" ht="19.5" thickBot="1"/>
    <row r="192" spans="2:10" ht="153.75" customHeight="1" thickBot="1">
      <c r="B192" s="145" t="s">
        <v>693</v>
      </c>
      <c r="C192" s="146"/>
      <c r="D192" s="146"/>
      <c r="E192" s="146"/>
      <c r="F192" s="146"/>
      <c r="G192" s="146"/>
      <c r="H192" s="146"/>
      <c r="I192" s="146"/>
      <c r="J192" s="147"/>
    </row>
    <row r="194" spans="2:7">
      <c r="B194" s="111" t="s">
        <v>694</v>
      </c>
    </row>
    <row r="196" spans="2:7">
      <c r="B196" s="2" t="s">
        <v>0</v>
      </c>
      <c r="C196" s="140">
        <v>0.5</v>
      </c>
      <c r="D196" s="140">
        <v>1</v>
      </c>
      <c r="E196" s="140">
        <v>1.5</v>
      </c>
      <c r="F196" s="19" t="s">
        <v>60</v>
      </c>
      <c r="G196" s="19" t="s">
        <v>90</v>
      </c>
    </row>
    <row r="197" spans="2:7">
      <c r="B197" s="2" t="s">
        <v>86</v>
      </c>
      <c r="C197" s="2">
        <f>-220000000/3</f>
        <v>-73333333.333333328</v>
      </c>
      <c r="D197" s="2">
        <f t="shared" ref="D197:E197" si="9">-220000000/3</f>
        <v>-73333333.333333328</v>
      </c>
      <c r="E197" s="2">
        <f t="shared" si="9"/>
        <v>-73333333.333333328</v>
      </c>
      <c r="F197" s="2">
        <f>60000*5000</f>
        <v>300000000</v>
      </c>
      <c r="G197" s="2"/>
    </row>
    <row r="198" spans="2:7">
      <c r="B198" s="2" t="s">
        <v>16</v>
      </c>
      <c r="C198" s="141">
        <v>0.2</v>
      </c>
      <c r="D198" s="141">
        <v>0.2</v>
      </c>
      <c r="E198" s="141">
        <v>0.2</v>
      </c>
      <c r="F198" s="2"/>
      <c r="G198" s="2"/>
    </row>
    <row r="199" spans="2:7">
      <c r="B199" s="2" t="s">
        <v>87</v>
      </c>
      <c r="C199" s="18">
        <f>1/(1+C198)^C196</f>
        <v>0.9128709291752769</v>
      </c>
      <c r="D199" s="18">
        <f t="shared" ref="D199:E199" si="10">1/(1+D198)^D196</f>
        <v>0.83333333333333337</v>
      </c>
      <c r="E199" s="18">
        <f t="shared" si="10"/>
        <v>0.7607257743127307</v>
      </c>
      <c r="F199" s="18">
        <f>E199</f>
        <v>0.7607257743127307</v>
      </c>
      <c r="G199" s="2"/>
    </row>
    <row r="200" spans="2:7">
      <c r="B200" s="2" t="s">
        <v>17</v>
      </c>
      <c r="C200" s="2">
        <f>C197*C199</f>
        <v>-66943868.139520302</v>
      </c>
      <c r="D200" s="2">
        <f t="shared" ref="D200:F200" si="11">D197*D199</f>
        <v>-61111111.111111112</v>
      </c>
      <c r="E200" s="2">
        <f t="shared" si="11"/>
        <v>-55786556.782933578</v>
      </c>
      <c r="F200" s="2">
        <f t="shared" si="11"/>
        <v>228217732.29381922</v>
      </c>
      <c r="G200" s="2">
        <f>SUM(C200:F200)</f>
        <v>44376196.260254234</v>
      </c>
    </row>
    <row r="201" spans="2:7">
      <c r="B201" s="2"/>
      <c r="C201" s="2"/>
      <c r="D201" s="2"/>
      <c r="E201" s="2"/>
      <c r="F201" s="2"/>
      <c r="G201" s="2"/>
    </row>
    <row r="202" spans="2:7">
      <c r="B202" s="2" t="s">
        <v>88</v>
      </c>
      <c r="C202" s="2">
        <f>-200000000/3</f>
        <v>-66666666.666666664</v>
      </c>
      <c r="D202" s="2">
        <f t="shared" ref="D202:E202" si="12">-200000000/3</f>
        <v>-66666666.666666664</v>
      </c>
      <c r="E202" s="2">
        <f t="shared" si="12"/>
        <v>-66666666.666666664</v>
      </c>
      <c r="F202" s="2">
        <f>6000*5000</f>
        <v>30000000</v>
      </c>
      <c r="G202" s="2"/>
    </row>
    <row r="203" spans="2:7">
      <c r="B203" s="2" t="s">
        <v>48</v>
      </c>
      <c r="C203" s="2"/>
      <c r="D203" s="2"/>
      <c r="E203" s="2"/>
      <c r="F203" s="5">
        <v>0.95</v>
      </c>
      <c r="G203" s="2"/>
    </row>
    <row r="204" spans="2:7">
      <c r="B204" s="2" t="s">
        <v>413</v>
      </c>
      <c r="C204" s="2"/>
      <c r="D204" s="2"/>
      <c r="E204" s="6"/>
      <c r="F204" s="2">
        <f>F202*F203</f>
        <v>28500000</v>
      </c>
      <c r="G204" s="2"/>
    </row>
    <row r="205" spans="2:7">
      <c r="B205" s="2" t="s">
        <v>30</v>
      </c>
      <c r="C205" s="2"/>
      <c r="D205" s="2"/>
      <c r="E205" s="2"/>
      <c r="F205" s="5">
        <v>0.11</v>
      </c>
      <c r="G205" s="2"/>
    </row>
    <row r="206" spans="2:7">
      <c r="B206" s="2" t="s">
        <v>15</v>
      </c>
      <c r="C206" s="2"/>
      <c r="D206" s="2"/>
      <c r="E206" s="2"/>
      <c r="F206" s="2">
        <f>F204/F205</f>
        <v>259090909.09090909</v>
      </c>
      <c r="G206" s="2"/>
    </row>
    <row r="207" spans="2:7">
      <c r="B207" s="2" t="s">
        <v>89</v>
      </c>
      <c r="C207" s="2">
        <f>C202</f>
        <v>-66666666.666666664</v>
      </c>
      <c r="D207" s="2">
        <f t="shared" ref="D207:E207" si="13">D202</f>
        <v>-66666666.666666664</v>
      </c>
      <c r="E207" s="2">
        <f t="shared" si="13"/>
        <v>-66666666.666666664</v>
      </c>
      <c r="F207" s="2">
        <f>F206</f>
        <v>259090909.09090909</v>
      </c>
      <c r="G207" s="2"/>
    </row>
    <row r="208" spans="2:7">
      <c r="B208" s="2" t="s">
        <v>17</v>
      </c>
      <c r="C208" s="2">
        <f>C199*C207</f>
        <v>-60858061.945018455</v>
      </c>
      <c r="D208" s="2">
        <f t="shared" ref="D208:F208" si="14">D199*D207</f>
        <v>-55555555.555555552</v>
      </c>
      <c r="E208" s="2">
        <f t="shared" si="14"/>
        <v>-50715051.620848708</v>
      </c>
      <c r="F208" s="2">
        <f t="shared" si="14"/>
        <v>197097132.43557113</v>
      </c>
      <c r="G208" s="2">
        <f>SUM(C208:F208)</f>
        <v>29968463.314148426</v>
      </c>
    </row>
    <row r="209" spans="2:10">
      <c r="B209" s="2" t="s">
        <v>91</v>
      </c>
      <c r="C209" s="2"/>
      <c r="D209" s="2"/>
      <c r="E209" s="2"/>
      <c r="F209" s="2"/>
      <c r="G209" s="82">
        <f>G200-G208</f>
        <v>14407732.946105808</v>
      </c>
    </row>
    <row r="211" spans="2:10">
      <c r="B211" s="111" t="s">
        <v>695</v>
      </c>
      <c r="C211" s="142">
        <f>(1+C198)^0.5-1</f>
        <v>9.5445115010332149E-2</v>
      </c>
    </row>
    <row r="213" spans="2:10" ht="19.5" thickBot="1"/>
    <row r="214" spans="2:10" ht="78.75" customHeight="1" thickBot="1">
      <c r="B214" s="145" t="s">
        <v>696</v>
      </c>
      <c r="C214" s="146"/>
      <c r="D214" s="146"/>
      <c r="E214" s="146"/>
      <c r="F214" s="146"/>
      <c r="G214" s="146"/>
      <c r="H214" s="146"/>
      <c r="I214" s="146"/>
      <c r="J214" s="147"/>
    </row>
    <row r="216" spans="2:10">
      <c r="B216" s="2" t="s">
        <v>0</v>
      </c>
      <c r="C216" s="3">
        <v>1</v>
      </c>
      <c r="D216" s="3">
        <v>2</v>
      </c>
      <c r="E216" s="19" t="s">
        <v>92</v>
      </c>
    </row>
    <row r="217" spans="2:10">
      <c r="B217" s="2" t="s">
        <v>89</v>
      </c>
      <c r="C217" s="2">
        <v>-5000000</v>
      </c>
      <c r="D217" s="2">
        <v>-5000000</v>
      </c>
      <c r="E217" s="2">
        <v>25000000</v>
      </c>
    </row>
    <row r="218" spans="2:10">
      <c r="B218" s="2" t="s">
        <v>16</v>
      </c>
      <c r="C218" s="5">
        <v>0.2</v>
      </c>
      <c r="D218" s="5">
        <v>0.2</v>
      </c>
      <c r="E218" s="5">
        <v>0.2</v>
      </c>
    </row>
    <row r="219" spans="2:10">
      <c r="B219" s="2" t="s">
        <v>17</v>
      </c>
      <c r="C219" s="2">
        <f>C217/(1+C218)^(1-C216)</f>
        <v>-5000000</v>
      </c>
      <c r="D219" s="2">
        <f>D217/(1+D218)^D216</f>
        <v>-3472222.2222222225</v>
      </c>
      <c r="E219" s="2">
        <f>E217/(1+E218)^D216</f>
        <v>17361111.111111112</v>
      </c>
    </row>
    <row r="220" spans="2:10">
      <c r="B220" s="2" t="s">
        <v>93</v>
      </c>
      <c r="C220" s="2">
        <f>C219+D219+E219</f>
        <v>8888888.8888888899</v>
      </c>
      <c r="D220" s="2"/>
      <c r="E220" s="2"/>
    </row>
    <row r="221" spans="2:10">
      <c r="B221" s="2" t="s">
        <v>94</v>
      </c>
      <c r="C221" s="82">
        <f>ROUND(C220,-3)</f>
        <v>8889000</v>
      </c>
      <c r="D221" s="2"/>
      <c r="E221" s="2"/>
    </row>
    <row r="223" spans="2:10">
      <c r="B223" s="90" t="s">
        <v>524</v>
      </c>
    </row>
    <row r="224" spans="2:10">
      <c r="B224" s="90" t="s">
        <v>525</v>
      </c>
    </row>
    <row r="226" spans="2:10" ht="19.5" thickBot="1"/>
    <row r="227" spans="2:10" ht="41.25" customHeight="1" thickBot="1">
      <c r="B227" s="145" t="s">
        <v>99</v>
      </c>
      <c r="C227" s="146"/>
      <c r="D227" s="146"/>
      <c r="E227" s="146"/>
      <c r="F227" s="146"/>
      <c r="G227" s="146"/>
      <c r="H227" s="146"/>
      <c r="I227" s="146"/>
      <c r="J227" s="147"/>
    </row>
    <row r="229" spans="2:10">
      <c r="B229" s="2" t="s">
        <v>31</v>
      </c>
      <c r="C229" s="2">
        <v>200000</v>
      </c>
    </row>
    <row r="230" spans="2:10">
      <c r="B230" s="2" t="s">
        <v>95</v>
      </c>
      <c r="C230" s="2">
        <v>800000</v>
      </c>
    </row>
    <row r="231" spans="2:10">
      <c r="B231" s="2" t="s">
        <v>96</v>
      </c>
      <c r="C231" s="5">
        <v>0.15</v>
      </c>
    </row>
    <row r="232" spans="2:10">
      <c r="B232" s="2" t="s">
        <v>97</v>
      </c>
      <c r="C232" s="5">
        <v>0.1</v>
      </c>
    </row>
    <row r="233" spans="2:10">
      <c r="B233" s="14" t="s">
        <v>35</v>
      </c>
      <c r="C233" s="2"/>
    </row>
    <row r="234" spans="2:10">
      <c r="B234" s="2" t="s">
        <v>98</v>
      </c>
      <c r="C234" s="2">
        <f>C230*C231</f>
        <v>120000</v>
      </c>
    </row>
    <row r="235" spans="2:10">
      <c r="B235" s="2" t="s">
        <v>84</v>
      </c>
      <c r="C235" s="82">
        <f>C229-C234</f>
        <v>80000</v>
      </c>
    </row>
    <row r="237" spans="2:10" ht="19.5" thickBot="1"/>
    <row r="238" spans="2:10" ht="42" customHeight="1" thickBot="1">
      <c r="B238" s="145" t="s">
        <v>526</v>
      </c>
      <c r="C238" s="146"/>
      <c r="D238" s="146"/>
      <c r="E238" s="146"/>
      <c r="F238" s="146"/>
      <c r="G238" s="146"/>
      <c r="H238" s="146"/>
      <c r="I238" s="146"/>
      <c r="J238" s="147"/>
    </row>
    <row r="240" spans="2:10">
      <c r="B240" s="2" t="s">
        <v>2</v>
      </c>
      <c r="C240" s="2">
        <v>450</v>
      </c>
    </row>
    <row r="241" spans="2:10">
      <c r="B241" s="2" t="s">
        <v>3</v>
      </c>
      <c r="C241" s="2">
        <v>410</v>
      </c>
    </row>
    <row r="242" spans="2:10">
      <c r="B242" s="2" t="s">
        <v>459</v>
      </c>
      <c r="C242" s="2">
        <v>7000</v>
      </c>
      <c r="D242" s="1">
        <f>C242*C241</f>
        <v>2870000</v>
      </c>
    </row>
    <row r="243" spans="2:10">
      <c r="B243" s="2" t="s">
        <v>460</v>
      </c>
      <c r="C243" s="95">
        <v>0.05</v>
      </c>
    </row>
    <row r="244" spans="2:10">
      <c r="B244" s="14" t="s">
        <v>35</v>
      </c>
      <c r="C244" s="2"/>
    </row>
    <row r="245" spans="2:10">
      <c r="B245" s="2" t="s">
        <v>49</v>
      </c>
      <c r="C245" s="82">
        <f>C241*C242*(1-C243)</f>
        <v>2726500</v>
      </c>
      <c r="D245" s="90" t="s">
        <v>527</v>
      </c>
    </row>
    <row r="247" spans="2:10" ht="19.5" thickBot="1"/>
    <row r="248" spans="2:10" ht="58.5" customHeight="1" thickBot="1">
      <c r="B248" s="145" t="s">
        <v>461</v>
      </c>
      <c r="C248" s="146"/>
      <c r="D248" s="146"/>
      <c r="E248" s="146"/>
      <c r="F248" s="146"/>
      <c r="G248" s="146"/>
      <c r="H248" s="146"/>
      <c r="I248" s="146"/>
      <c r="J248" s="147"/>
    </row>
    <row r="250" spans="2:10">
      <c r="B250" s="2" t="s">
        <v>462</v>
      </c>
      <c r="C250" s="2">
        <v>100</v>
      </c>
    </row>
    <row r="251" spans="2:10">
      <c r="B251" s="2" t="s">
        <v>463</v>
      </c>
      <c r="C251" s="2">
        <v>3.54</v>
      </c>
    </row>
    <row r="252" spans="2:10">
      <c r="B252" s="2" t="s">
        <v>464</v>
      </c>
      <c r="C252" s="2">
        <v>1.18</v>
      </c>
    </row>
    <row r="253" spans="2:10">
      <c r="B253" s="14" t="s">
        <v>35</v>
      </c>
      <c r="C253" s="2"/>
    </row>
    <row r="254" spans="2:10">
      <c r="B254" s="2" t="s">
        <v>466</v>
      </c>
      <c r="C254" s="2">
        <f>C251/C252</f>
        <v>3</v>
      </c>
    </row>
    <row r="255" spans="2:10">
      <c r="B255" s="2" t="s">
        <v>465</v>
      </c>
      <c r="C255" s="82">
        <f>C250*C254</f>
        <v>300</v>
      </c>
    </row>
    <row r="257" spans="2:10" ht="19.5" thickBot="1"/>
    <row r="258" spans="2:10" ht="58.5" customHeight="1" thickBot="1">
      <c r="B258" s="145" t="s">
        <v>107</v>
      </c>
      <c r="C258" s="146"/>
      <c r="D258" s="146"/>
      <c r="E258" s="146"/>
      <c r="F258" s="146"/>
      <c r="G258" s="146"/>
      <c r="H258" s="146"/>
      <c r="I258" s="146"/>
      <c r="J258" s="147"/>
    </row>
    <row r="260" spans="2:10">
      <c r="B260" s="2" t="s">
        <v>45</v>
      </c>
      <c r="C260" s="2">
        <v>110000</v>
      </c>
    </row>
    <row r="261" spans="2:10">
      <c r="B261" s="2" t="s">
        <v>98</v>
      </c>
      <c r="C261" s="2">
        <v>55000</v>
      </c>
    </row>
    <row r="262" spans="2:10">
      <c r="B262" s="2" t="s">
        <v>108</v>
      </c>
      <c r="C262" s="5">
        <v>0.13</v>
      </c>
    </row>
    <row r="263" spans="2:10">
      <c r="B263" s="2" t="s">
        <v>109</v>
      </c>
      <c r="C263" s="2">
        <v>35</v>
      </c>
    </row>
    <row r="264" spans="2:10">
      <c r="B264" s="2" t="s">
        <v>23</v>
      </c>
      <c r="C264" s="5">
        <v>0.08</v>
      </c>
    </row>
    <row r="265" spans="2:10">
      <c r="B265" s="14" t="s">
        <v>35</v>
      </c>
      <c r="C265" s="2"/>
    </row>
    <row r="266" spans="2:10">
      <c r="B266" s="2" t="s">
        <v>29</v>
      </c>
      <c r="C266" s="13">
        <f>PMT(C264,C263,,-1)</f>
        <v>5.8032645606798106E-3</v>
      </c>
      <c r="D266" s="90" t="s">
        <v>528</v>
      </c>
    </row>
    <row r="267" spans="2:10">
      <c r="B267" s="2" t="s">
        <v>30</v>
      </c>
      <c r="C267" s="13">
        <f>C262+C266</f>
        <v>0.13580326456067981</v>
      </c>
      <c r="D267" s="90" t="s">
        <v>529</v>
      </c>
    </row>
    <row r="268" spans="2:10">
      <c r="B268" s="2" t="s">
        <v>95</v>
      </c>
      <c r="C268" s="2">
        <f>C261/C267</f>
        <v>404997.62783997593</v>
      </c>
      <c r="D268" s="90" t="s">
        <v>530</v>
      </c>
    </row>
    <row r="269" spans="2:10">
      <c r="B269" s="2" t="s">
        <v>38</v>
      </c>
      <c r="C269" s="82">
        <f>C260+C268</f>
        <v>514997.62783997593</v>
      </c>
      <c r="D269" s="90" t="s">
        <v>531</v>
      </c>
    </row>
    <row r="271" spans="2:10" ht="19.5" thickBot="1"/>
    <row r="272" spans="2:10" ht="135" customHeight="1" thickBot="1">
      <c r="B272" s="145" t="s">
        <v>467</v>
      </c>
      <c r="C272" s="146"/>
      <c r="D272" s="146"/>
      <c r="E272" s="146"/>
      <c r="F272" s="146"/>
      <c r="G272" s="146"/>
      <c r="H272" s="146"/>
      <c r="I272" s="146"/>
      <c r="J272" s="147"/>
    </row>
    <row r="274" spans="2:7">
      <c r="B274" s="111" t="s">
        <v>697</v>
      </c>
    </row>
    <row r="276" spans="2:7">
      <c r="B276" s="2" t="s">
        <v>0</v>
      </c>
      <c r="C276" s="16">
        <v>1</v>
      </c>
      <c r="D276" s="16">
        <v>2</v>
      </c>
      <c r="E276" s="16">
        <v>3</v>
      </c>
      <c r="F276" s="17" t="s">
        <v>1</v>
      </c>
    </row>
    <row r="277" spans="2:7">
      <c r="B277" s="2" t="s">
        <v>46</v>
      </c>
      <c r="C277" s="2">
        <v>-200000000</v>
      </c>
      <c r="D277" s="2">
        <v>-200000000</v>
      </c>
      <c r="E277" s="2"/>
      <c r="F277" s="2"/>
    </row>
    <row r="278" spans="2:7">
      <c r="B278" s="2" t="s">
        <v>3</v>
      </c>
      <c r="C278" s="2"/>
      <c r="D278" s="2"/>
      <c r="E278" s="2">
        <v>4000</v>
      </c>
      <c r="F278" s="2">
        <v>4000</v>
      </c>
    </row>
    <row r="279" spans="2:7">
      <c r="B279" s="2" t="s">
        <v>47</v>
      </c>
      <c r="C279" s="2"/>
      <c r="D279" s="2"/>
      <c r="E279" s="2">
        <v>25000</v>
      </c>
      <c r="F279" s="2">
        <v>25000</v>
      </c>
    </row>
    <row r="280" spans="2:7">
      <c r="B280" s="2" t="s">
        <v>48</v>
      </c>
      <c r="C280" s="2"/>
      <c r="D280" s="2"/>
      <c r="E280" s="5">
        <v>0.7</v>
      </c>
      <c r="F280" s="5">
        <v>0.9</v>
      </c>
    </row>
    <row r="281" spans="2:7">
      <c r="B281" s="2" t="s">
        <v>49</v>
      </c>
      <c r="C281" s="2"/>
      <c r="D281" s="2"/>
      <c r="E281" s="2">
        <f>E278*E279*E280</f>
        <v>70000000</v>
      </c>
      <c r="F281" s="2">
        <f>F278*F279*F280</f>
        <v>90000000</v>
      </c>
    </row>
    <row r="282" spans="2:7">
      <c r="B282" s="2" t="s">
        <v>14</v>
      </c>
      <c r="C282" s="2"/>
      <c r="D282" s="2"/>
      <c r="E282" s="2"/>
      <c r="F282" s="5">
        <v>0.1</v>
      </c>
    </row>
    <row r="283" spans="2:7">
      <c r="B283" s="2" t="s">
        <v>15</v>
      </c>
      <c r="C283" s="2"/>
      <c r="D283" s="2"/>
      <c r="E283" s="2"/>
      <c r="F283" s="2">
        <f>F281/F282</f>
        <v>900000000</v>
      </c>
    </row>
    <row r="284" spans="2:7">
      <c r="B284" s="2" t="s">
        <v>50</v>
      </c>
      <c r="C284" s="2">
        <f>C277</f>
        <v>-200000000</v>
      </c>
      <c r="D284" s="2">
        <f>D277</f>
        <v>-200000000</v>
      </c>
      <c r="E284" s="2">
        <f>E281</f>
        <v>70000000</v>
      </c>
      <c r="F284" s="2">
        <f>F283</f>
        <v>900000000</v>
      </c>
    </row>
    <row r="285" spans="2:7">
      <c r="B285" s="2" t="s">
        <v>16</v>
      </c>
      <c r="C285" s="5">
        <v>0.2</v>
      </c>
      <c r="D285" s="5">
        <v>0.2</v>
      </c>
      <c r="E285" s="5">
        <v>0.16</v>
      </c>
      <c r="F285" s="2"/>
    </row>
    <row r="286" spans="2:7">
      <c r="B286" s="2" t="s">
        <v>54</v>
      </c>
      <c r="C286" s="18">
        <f>1/(1+C285)</f>
        <v>0.83333333333333337</v>
      </c>
      <c r="D286" s="18">
        <f>1/(1+D285)</f>
        <v>0.83333333333333337</v>
      </c>
      <c r="E286" s="18">
        <f>1/(1+E285)</f>
        <v>0.86206896551724144</v>
      </c>
      <c r="F286" s="2"/>
    </row>
    <row r="287" spans="2:7">
      <c r="B287" s="2" t="s">
        <v>51</v>
      </c>
      <c r="C287" s="18">
        <f>C286</f>
        <v>0.83333333333333337</v>
      </c>
      <c r="D287" s="18">
        <f>C286*D286</f>
        <v>0.69444444444444453</v>
      </c>
      <c r="E287" s="18">
        <f>C286*D286*E286</f>
        <v>0.59865900383141779</v>
      </c>
      <c r="F287" s="18">
        <f>E287</f>
        <v>0.59865900383141779</v>
      </c>
      <c r="G287" s="90" t="s">
        <v>536</v>
      </c>
    </row>
    <row r="288" spans="2:7">
      <c r="B288" s="2" t="s">
        <v>52</v>
      </c>
      <c r="C288" s="2">
        <f>C284*C287</f>
        <v>-166666666.66666669</v>
      </c>
      <c r="D288" s="2">
        <f>D284*D287</f>
        <v>-138888888.8888889</v>
      </c>
      <c r="E288" s="2">
        <f>E284*E287</f>
        <v>41906130.268199243</v>
      </c>
      <c r="F288" s="2">
        <f>F284*F287</f>
        <v>538793103.44827604</v>
      </c>
    </row>
    <row r="289" spans="2:10">
      <c r="B289" s="2" t="s">
        <v>53</v>
      </c>
      <c r="C289" s="82">
        <f>C288+D288+E288+F288</f>
        <v>275143678.16091967</v>
      </c>
      <c r="D289" s="2"/>
      <c r="E289" s="2"/>
      <c r="F289" s="2"/>
    </row>
    <row r="291" spans="2:10" ht="19.5" thickBot="1"/>
    <row r="292" spans="2:10" ht="58.5" customHeight="1" thickBot="1">
      <c r="B292" s="145" t="s">
        <v>479</v>
      </c>
      <c r="C292" s="146"/>
      <c r="D292" s="146"/>
      <c r="E292" s="146"/>
      <c r="F292" s="146"/>
      <c r="G292" s="146"/>
      <c r="H292" s="146"/>
      <c r="I292" s="146"/>
      <c r="J292" s="147"/>
    </row>
    <row r="296" spans="2:10">
      <c r="B296" s="2" t="s">
        <v>56</v>
      </c>
      <c r="C296" s="2">
        <v>900000</v>
      </c>
    </row>
    <row r="297" spans="2:10">
      <c r="B297" s="2" t="s">
        <v>55</v>
      </c>
      <c r="C297" s="2">
        <v>150000</v>
      </c>
    </row>
    <row r="298" spans="2:10">
      <c r="B298" s="2" t="s">
        <v>468</v>
      </c>
      <c r="C298" s="2">
        <v>1200000</v>
      </c>
    </row>
    <row r="299" spans="2:10">
      <c r="B299" s="2" t="s">
        <v>458</v>
      </c>
      <c r="C299" s="5">
        <v>0.15</v>
      </c>
      <c r="D299" s="136">
        <f>C297/C299</f>
        <v>1000000</v>
      </c>
      <c r="E299" s="1" t="s">
        <v>671</v>
      </c>
    </row>
    <row r="300" spans="2:10">
      <c r="B300" s="2" t="s">
        <v>57</v>
      </c>
      <c r="C300" s="12">
        <v>30</v>
      </c>
    </row>
    <row r="301" spans="2:10">
      <c r="B301" s="2" t="s">
        <v>58</v>
      </c>
      <c r="C301" s="5">
        <v>0.12</v>
      </c>
    </row>
    <row r="302" spans="2:10">
      <c r="B302" s="2" t="s">
        <v>469</v>
      </c>
      <c r="C302" s="12">
        <v>10</v>
      </c>
    </row>
    <row r="303" spans="2:10">
      <c r="B303" s="14" t="s">
        <v>35</v>
      </c>
      <c r="C303" s="5"/>
    </row>
    <row r="304" spans="2:10">
      <c r="B304" s="2" t="s">
        <v>514</v>
      </c>
      <c r="C304" s="97">
        <f>C300*12</f>
        <v>360</v>
      </c>
      <c r="D304" s="90" t="s">
        <v>484</v>
      </c>
    </row>
    <row r="305" spans="2:10">
      <c r="B305" s="2" t="s">
        <v>480</v>
      </c>
      <c r="C305" s="5">
        <f>C301/12</f>
        <v>0.01</v>
      </c>
      <c r="D305" s="90" t="s">
        <v>483</v>
      </c>
    </row>
    <row r="306" spans="2:10">
      <c r="B306" s="2" t="s">
        <v>515</v>
      </c>
      <c r="C306" s="97">
        <f>C302*12</f>
        <v>120</v>
      </c>
      <c r="D306" s="90" t="s">
        <v>485</v>
      </c>
    </row>
    <row r="307" spans="2:10">
      <c r="B307" s="2" t="s">
        <v>481</v>
      </c>
      <c r="C307" s="2">
        <f>PMT(C305,C304,-C296)</f>
        <v>9257.5133723295403</v>
      </c>
      <c r="D307" s="90" t="s">
        <v>486</v>
      </c>
    </row>
    <row r="308" spans="2:10">
      <c r="B308" s="2" t="s">
        <v>482</v>
      </c>
      <c r="C308" s="2">
        <f>C307*12</f>
        <v>111090.16046795448</v>
      </c>
      <c r="D308" s="90" t="s">
        <v>487</v>
      </c>
    </row>
    <row r="309" spans="2:10">
      <c r="B309" s="2" t="s">
        <v>470</v>
      </c>
      <c r="C309" s="2">
        <f>C297-C308</f>
        <v>38909.839532045517</v>
      </c>
      <c r="D309" s="90" t="s">
        <v>488</v>
      </c>
    </row>
    <row r="310" spans="2:10">
      <c r="B310" s="2" t="s">
        <v>478</v>
      </c>
      <c r="C310" s="15">
        <f>PV(C299,C302,-C309)</f>
        <v>195279.4818804526</v>
      </c>
      <c r="D310" s="90" t="s">
        <v>489</v>
      </c>
    </row>
    <row r="311" spans="2:10">
      <c r="B311" s="2" t="s">
        <v>472</v>
      </c>
      <c r="C311" s="2">
        <f>(C300-C302)*12</f>
        <v>240</v>
      </c>
      <c r="D311" s="90" t="s">
        <v>516</v>
      </c>
    </row>
    <row r="312" spans="2:10">
      <c r="B312" s="2" t="s">
        <v>471</v>
      </c>
      <c r="C312" s="2">
        <f>PV(C305,C311,-C307)</f>
        <v>840761.96131156594</v>
      </c>
      <c r="D312" s="90" t="s">
        <v>490</v>
      </c>
    </row>
    <row r="313" spans="2:10">
      <c r="B313" s="2" t="s">
        <v>473</v>
      </c>
      <c r="C313" s="2">
        <f>C298-C312</f>
        <v>359238.03868843406</v>
      </c>
      <c r="D313" s="90" t="s">
        <v>474</v>
      </c>
    </row>
    <row r="314" spans="2:10">
      <c r="B314" s="2" t="s">
        <v>475</v>
      </c>
      <c r="C314" s="15">
        <f>PV(C299,C302,,-C313)</f>
        <v>88798.149020996047</v>
      </c>
      <c r="D314" s="90" t="s">
        <v>491</v>
      </c>
    </row>
    <row r="315" spans="2:10">
      <c r="B315" s="2" t="s">
        <v>476</v>
      </c>
      <c r="C315" s="15">
        <f>C310+C314</f>
        <v>284077.63090144866</v>
      </c>
      <c r="D315" s="90" t="s">
        <v>477</v>
      </c>
    </row>
    <row r="316" spans="2:10">
      <c r="B316" s="2" t="s">
        <v>65</v>
      </c>
      <c r="C316" s="84">
        <f>C296+C315</f>
        <v>1184077.6309014487</v>
      </c>
    </row>
    <row r="318" spans="2:10" ht="19.5" thickBot="1"/>
    <row r="319" spans="2:10" ht="111" customHeight="1" thickBot="1">
      <c r="B319" s="145" t="s">
        <v>698</v>
      </c>
      <c r="C319" s="146"/>
      <c r="D319" s="146"/>
      <c r="E319" s="146"/>
      <c r="F319" s="146"/>
      <c r="G319" s="146"/>
      <c r="H319" s="146"/>
      <c r="I319" s="146"/>
      <c r="J319" s="147"/>
    </row>
    <row r="322" spans="2:6">
      <c r="B322" s="2" t="s">
        <v>0</v>
      </c>
      <c r="C322" s="3">
        <v>1</v>
      </c>
      <c r="D322" s="3">
        <v>2</v>
      </c>
      <c r="E322" s="3">
        <v>3</v>
      </c>
      <c r="F322" s="2" t="s">
        <v>1</v>
      </c>
    </row>
    <row r="323" spans="2:6">
      <c r="B323" s="2" t="s">
        <v>110</v>
      </c>
      <c r="C323" s="2">
        <v>5000</v>
      </c>
      <c r="D323" s="2">
        <v>5000</v>
      </c>
      <c r="E323" s="2">
        <v>5000</v>
      </c>
      <c r="F323" s="2">
        <v>5000</v>
      </c>
    </row>
    <row r="324" spans="2:6">
      <c r="B324" s="2" t="s">
        <v>699</v>
      </c>
      <c r="C324" s="2">
        <v>4000</v>
      </c>
      <c r="D324" s="2">
        <v>4000</v>
      </c>
      <c r="E324" s="2">
        <v>4000</v>
      </c>
      <c r="F324" s="2">
        <v>4000</v>
      </c>
    </row>
    <row r="325" spans="2:6">
      <c r="B325" s="15" t="s">
        <v>112</v>
      </c>
      <c r="C325" s="2"/>
      <c r="D325" s="2"/>
      <c r="E325" s="2"/>
      <c r="F325" s="2"/>
    </row>
    <row r="326" spans="2:6">
      <c r="B326" s="2" t="s">
        <v>700</v>
      </c>
      <c r="C326" s="141">
        <v>0.45</v>
      </c>
      <c r="D326" s="141">
        <v>0.45</v>
      </c>
      <c r="E326" s="141">
        <v>0.45</v>
      </c>
      <c r="F326" s="141">
        <v>0.45</v>
      </c>
    </row>
    <row r="327" spans="2:6">
      <c r="B327" s="2" t="s">
        <v>113</v>
      </c>
      <c r="C327" s="2">
        <f>C324*C326</f>
        <v>1800</v>
      </c>
      <c r="D327" s="2">
        <f t="shared" ref="D327:F327" si="15">D324*D326</f>
        <v>1800</v>
      </c>
      <c r="E327" s="2">
        <f t="shared" si="15"/>
        <v>1800</v>
      </c>
      <c r="F327" s="2">
        <f t="shared" si="15"/>
        <v>1800</v>
      </c>
    </row>
    <row r="328" spans="2:6">
      <c r="B328" s="2" t="s">
        <v>114</v>
      </c>
      <c r="C328" s="2">
        <v>10000</v>
      </c>
      <c r="D328" s="2">
        <v>11000</v>
      </c>
      <c r="E328" s="2">
        <v>13000</v>
      </c>
      <c r="F328" s="2">
        <v>15000</v>
      </c>
    </row>
    <row r="329" spans="2:6">
      <c r="B329" s="2" t="s">
        <v>117</v>
      </c>
      <c r="C329" s="2">
        <f>C327*C328</f>
        <v>18000000</v>
      </c>
      <c r="D329" s="2">
        <f t="shared" ref="D329:F329" si="16">D327*D328</f>
        <v>19800000</v>
      </c>
      <c r="E329" s="2">
        <f t="shared" si="16"/>
        <v>23400000</v>
      </c>
      <c r="F329" s="2">
        <f t="shared" si="16"/>
        <v>27000000</v>
      </c>
    </row>
    <row r="330" spans="2:6">
      <c r="B330" s="2" t="s">
        <v>703</v>
      </c>
      <c r="C330" s="2">
        <v>5500</v>
      </c>
      <c r="D330" s="2">
        <v>5500</v>
      </c>
      <c r="E330" s="2">
        <v>5500</v>
      </c>
      <c r="F330" s="2">
        <v>5500</v>
      </c>
    </row>
    <row r="331" spans="2:6">
      <c r="B331" s="2" t="s">
        <v>115</v>
      </c>
      <c r="C331" s="2">
        <f>C330*C327</f>
        <v>9900000</v>
      </c>
      <c r="D331" s="2">
        <f>D330*D327</f>
        <v>9900000</v>
      </c>
      <c r="E331" s="2">
        <f>E330*E327</f>
        <v>9900000</v>
      </c>
      <c r="F331" s="2">
        <f>F330*F327</f>
        <v>9900000</v>
      </c>
    </row>
    <row r="332" spans="2:6">
      <c r="B332" s="9" t="s">
        <v>116</v>
      </c>
      <c r="C332" s="9">
        <f>C329+C331</f>
        <v>27900000</v>
      </c>
      <c r="D332" s="9">
        <f>D329+D331</f>
        <v>29700000</v>
      </c>
      <c r="E332" s="9">
        <f>E329+E331</f>
        <v>33300000</v>
      </c>
      <c r="F332" s="9">
        <f>F329+F331</f>
        <v>36900000</v>
      </c>
    </row>
    <row r="333" spans="2:6">
      <c r="B333" s="15" t="s">
        <v>122</v>
      </c>
      <c r="C333" s="2"/>
      <c r="D333" s="2"/>
      <c r="E333" s="2"/>
      <c r="F333" s="2"/>
    </row>
    <row r="334" spans="2:6">
      <c r="B334" s="2" t="s">
        <v>701</v>
      </c>
      <c r="C334" s="141">
        <v>0.55000000000000004</v>
      </c>
      <c r="D334" s="141">
        <v>0.55000000000000004</v>
      </c>
      <c r="E334" s="141">
        <v>0.55000000000000004</v>
      </c>
      <c r="F334" s="141">
        <v>0.55000000000000004</v>
      </c>
    </row>
    <row r="335" spans="2:6">
      <c r="B335" s="2" t="s">
        <v>111</v>
      </c>
      <c r="C335" s="2">
        <f>C324*C334</f>
        <v>2200</v>
      </c>
      <c r="D335" s="2">
        <f>D324*D334</f>
        <v>2200</v>
      </c>
      <c r="E335" s="2">
        <f>E324*E334</f>
        <v>2200</v>
      </c>
      <c r="F335" s="2">
        <f>F324*F334</f>
        <v>2200</v>
      </c>
    </row>
    <row r="336" spans="2:6">
      <c r="B336" s="2" t="s">
        <v>48</v>
      </c>
      <c r="C336" s="5">
        <v>0.9</v>
      </c>
      <c r="D336" s="5">
        <v>0.9</v>
      </c>
      <c r="E336" s="5">
        <v>0.9</v>
      </c>
      <c r="F336" s="5">
        <v>0.9</v>
      </c>
    </row>
    <row r="337" spans="2:6">
      <c r="B337" s="2" t="s">
        <v>702</v>
      </c>
      <c r="C337" s="2">
        <f>C335*C336</f>
        <v>1980</v>
      </c>
      <c r="D337" s="2">
        <f t="shared" ref="D337:F337" si="17">D335*D336</f>
        <v>1980</v>
      </c>
      <c r="E337" s="2">
        <f t="shared" si="17"/>
        <v>1980</v>
      </c>
      <c r="F337" s="2">
        <f t="shared" si="17"/>
        <v>1980</v>
      </c>
    </row>
    <row r="338" spans="2:6">
      <c r="B338" s="2" t="s">
        <v>114</v>
      </c>
      <c r="C338" s="2">
        <v>25000</v>
      </c>
      <c r="D338" s="2">
        <v>25000</v>
      </c>
      <c r="E338" s="2">
        <v>25000</v>
      </c>
      <c r="F338" s="2">
        <v>25000</v>
      </c>
    </row>
    <row r="339" spans="2:6">
      <c r="B339" s="2" t="s">
        <v>49</v>
      </c>
      <c r="C339" s="2">
        <f>C337*C338</f>
        <v>49500000</v>
      </c>
      <c r="D339" s="2">
        <f t="shared" ref="D339:F339" si="18">D337*D338</f>
        <v>49500000</v>
      </c>
      <c r="E339" s="2">
        <f t="shared" si="18"/>
        <v>49500000</v>
      </c>
      <c r="F339" s="2">
        <f t="shared" si="18"/>
        <v>49500000</v>
      </c>
    </row>
    <row r="340" spans="2:6">
      <c r="B340" s="2" t="s">
        <v>703</v>
      </c>
      <c r="C340" s="2">
        <v>5500</v>
      </c>
      <c r="D340" s="2">
        <v>5500</v>
      </c>
      <c r="E340" s="2">
        <v>5500</v>
      </c>
      <c r="F340" s="2">
        <v>5500</v>
      </c>
    </row>
    <row r="341" spans="2:6">
      <c r="B341" s="2" t="s">
        <v>115</v>
      </c>
      <c r="C341" s="2">
        <f>C337*C340</f>
        <v>10890000</v>
      </c>
      <c r="D341" s="2">
        <f t="shared" ref="D341:F341" si="19">D337*D340</f>
        <v>10890000</v>
      </c>
      <c r="E341" s="2">
        <f t="shared" si="19"/>
        <v>10890000</v>
      </c>
      <c r="F341" s="2">
        <f t="shared" si="19"/>
        <v>10890000</v>
      </c>
    </row>
    <row r="342" spans="2:6">
      <c r="B342" s="9" t="s">
        <v>116</v>
      </c>
      <c r="C342" s="9">
        <f>C339+C341</f>
        <v>60390000</v>
      </c>
      <c r="D342" s="9">
        <f t="shared" ref="D342:F342" si="20">D339+D341</f>
        <v>60390000</v>
      </c>
      <c r="E342" s="9">
        <f t="shared" si="20"/>
        <v>60390000</v>
      </c>
      <c r="F342" s="9">
        <f t="shared" si="20"/>
        <v>60390000</v>
      </c>
    </row>
    <row r="343" spans="2:6">
      <c r="B343" s="87" t="s">
        <v>411</v>
      </c>
      <c r="C343" s="88">
        <f>C332+C342</f>
        <v>88290000</v>
      </c>
      <c r="D343" s="88">
        <f t="shared" ref="D343:F343" si="21">D332+D342</f>
        <v>90090000</v>
      </c>
      <c r="E343" s="88">
        <f t="shared" si="21"/>
        <v>93690000</v>
      </c>
      <c r="F343" s="88">
        <f t="shared" si="21"/>
        <v>97290000</v>
      </c>
    </row>
    <row r="344" spans="2:6">
      <c r="B344" s="2" t="s">
        <v>118</v>
      </c>
      <c r="C344" s="2">
        <v>8000</v>
      </c>
      <c r="D344" s="2">
        <v>8000</v>
      </c>
      <c r="E344" s="2">
        <v>8000</v>
      </c>
      <c r="F344" s="2">
        <v>8000</v>
      </c>
    </row>
    <row r="345" spans="2:6">
      <c r="B345" s="2" t="s">
        <v>119</v>
      </c>
      <c r="C345" s="2">
        <f>C323*C344</f>
        <v>40000000</v>
      </c>
      <c r="D345" s="2">
        <f t="shared" ref="D345:F345" si="22">D323*D344</f>
        <v>40000000</v>
      </c>
      <c r="E345" s="2">
        <f t="shared" si="22"/>
        <v>40000000</v>
      </c>
      <c r="F345" s="2">
        <f t="shared" si="22"/>
        <v>40000000</v>
      </c>
    </row>
    <row r="346" spans="2:6">
      <c r="B346" s="2" t="s">
        <v>55</v>
      </c>
      <c r="C346" s="2">
        <f>C343-C345</f>
        <v>48290000</v>
      </c>
      <c r="D346" s="2">
        <f t="shared" ref="D346:F346" si="23">D343-D345</f>
        <v>50090000</v>
      </c>
      <c r="E346" s="2">
        <f t="shared" si="23"/>
        <v>53690000</v>
      </c>
      <c r="F346" s="2">
        <f t="shared" si="23"/>
        <v>57290000</v>
      </c>
    </row>
    <row r="347" spans="2:6">
      <c r="B347" s="2" t="s">
        <v>120</v>
      </c>
      <c r="C347" s="2"/>
      <c r="D347" s="2"/>
      <c r="E347" s="2"/>
      <c r="F347" s="5">
        <v>0.11</v>
      </c>
    </row>
    <row r="348" spans="2:6">
      <c r="B348" s="2" t="s">
        <v>15</v>
      </c>
      <c r="C348" s="2"/>
      <c r="D348" s="2"/>
      <c r="E348" s="2"/>
      <c r="F348" s="2">
        <f>F346/F347</f>
        <v>520818181.81818181</v>
      </c>
    </row>
    <row r="349" spans="2:6">
      <c r="B349" s="2" t="s">
        <v>121</v>
      </c>
      <c r="C349" s="2">
        <f>C346</f>
        <v>48290000</v>
      </c>
      <c r="D349" s="2">
        <f>D346</f>
        <v>50090000</v>
      </c>
      <c r="E349" s="2">
        <f>E346+F348</f>
        <v>574508181.81818175</v>
      </c>
      <c r="F349" s="2"/>
    </row>
    <row r="350" spans="2:6">
      <c r="B350" s="2" t="s">
        <v>16</v>
      </c>
      <c r="C350" s="5">
        <v>0.16</v>
      </c>
      <c r="D350" s="5">
        <v>0.16</v>
      </c>
      <c r="E350" s="5">
        <v>0.16</v>
      </c>
      <c r="F350" s="5"/>
    </row>
    <row r="351" spans="2:6">
      <c r="B351" s="2" t="s">
        <v>17</v>
      </c>
      <c r="C351" s="2">
        <f>C349/(1+C350)^C322</f>
        <v>41629310.344827592</v>
      </c>
      <c r="D351" s="2">
        <f t="shared" ref="D351:E351" si="24">D349/(1+D350)^D322</f>
        <v>37225029.726516053</v>
      </c>
      <c r="E351" s="2">
        <f t="shared" si="24"/>
        <v>368063075.19410765</v>
      </c>
      <c r="F351" s="2"/>
    </row>
    <row r="352" spans="2:6">
      <c r="B352" s="2" t="s">
        <v>80</v>
      </c>
      <c r="C352" s="82">
        <f>C351+D351+E351</f>
        <v>446917415.26545131</v>
      </c>
      <c r="D352" s="2"/>
      <c r="E352" s="2"/>
      <c r="F352" s="2"/>
    </row>
    <row r="354" spans="2:10" ht="19.5" thickBot="1"/>
    <row r="355" spans="2:10" ht="154.5" customHeight="1" thickBot="1">
      <c r="B355" s="145" t="s">
        <v>704</v>
      </c>
      <c r="C355" s="146"/>
      <c r="D355" s="146"/>
      <c r="E355" s="146"/>
      <c r="F355" s="146"/>
      <c r="G355" s="146"/>
      <c r="H355" s="146"/>
      <c r="I355" s="146"/>
      <c r="J355" s="147"/>
    </row>
    <row r="358" spans="2:10">
      <c r="B358" s="2" t="s">
        <v>0</v>
      </c>
      <c r="C358" s="16">
        <v>1</v>
      </c>
      <c r="D358" s="16">
        <v>2</v>
      </c>
      <c r="E358" s="16">
        <v>3</v>
      </c>
      <c r="F358" s="17" t="s">
        <v>1</v>
      </c>
    </row>
    <row r="359" spans="2:10">
      <c r="B359" s="2" t="s">
        <v>46</v>
      </c>
      <c r="C359" s="2">
        <f>-380000000/2</f>
        <v>-190000000</v>
      </c>
      <c r="D359" s="2">
        <f>-380000000/2</f>
        <v>-190000000</v>
      </c>
      <c r="E359" s="2"/>
      <c r="F359" s="2"/>
    </row>
    <row r="360" spans="2:10">
      <c r="B360" s="2" t="s">
        <v>3</v>
      </c>
      <c r="C360" s="2"/>
      <c r="D360" s="2"/>
      <c r="E360" s="2">
        <v>4000</v>
      </c>
      <c r="F360" s="2"/>
    </row>
    <row r="361" spans="2:10">
      <c r="B361" s="2" t="s">
        <v>47</v>
      </c>
      <c r="C361" s="2"/>
      <c r="D361" s="2"/>
      <c r="E361" s="2">
        <v>25000</v>
      </c>
      <c r="F361" s="2"/>
    </row>
    <row r="362" spans="2:10">
      <c r="B362" s="2" t="s">
        <v>48</v>
      </c>
      <c r="C362" s="2"/>
      <c r="D362" s="2"/>
      <c r="E362" s="5">
        <v>0.85</v>
      </c>
      <c r="F362" s="5"/>
    </row>
    <row r="363" spans="2:10">
      <c r="B363" s="2" t="s">
        <v>49</v>
      </c>
      <c r="C363" s="2"/>
      <c r="D363" s="2"/>
      <c r="E363" s="2">
        <f>E360*E361*E362</f>
        <v>85000000</v>
      </c>
      <c r="F363" s="2"/>
    </row>
    <row r="364" spans="2:10">
      <c r="B364" s="2" t="s">
        <v>14</v>
      </c>
      <c r="C364" s="2"/>
      <c r="D364" s="2"/>
      <c r="E364" s="2"/>
      <c r="F364" s="5"/>
    </row>
    <row r="365" spans="2:10">
      <c r="B365" s="2" t="s">
        <v>15</v>
      </c>
      <c r="C365" s="2"/>
      <c r="D365" s="2"/>
      <c r="E365" s="2"/>
      <c r="F365" s="2"/>
    </row>
    <row r="366" spans="2:10">
      <c r="B366" s="2" t="s">
        <v>50</v>
      </c>
      <c r="C366" s="2">
        <f>C359</f>
        <v>-190000000</v>
      </c>
      <c r="D366" s="2">
        <f>D359</f>
        <v>-190000000</v>
      </c>
      <c r="E366" s="2">
        <f>E363</f>
        <v>85000000</v>
      </c>
      <c r="F366" s="9">
        <f>115000*5000</f>
        <v>575000000</v>
      </c>
    </row>
    <row r="367" spans="2:10">
      <c r="B367" s="2" t="s">
        <v>16</v>
      </c>
      <c r="C367" s="5">
        <v>0.22</v>
      </c>
      <c r="D367" s="5">
        <v>0.22</v>
      </c>
      <c r="E367" s="5">
        <v>0.17</v>
      </c>
      <c r="F367" s="2"/>
    </row>
    <row r="368" spans="2:10">
      <c r="B368" s="2" t="s">
        <v>54</v>
      </c>
      <c r="C368" s="18">
        <f>1/(1+C367)</f>
        <v>0.81967213114754101</v>
      </c>
      <c r="D368" s="18">
        <f>1/(1+D367)</f>
        <v>0.81967213114754101</v>
      </c>
      <c r="E368" s="18">
        <f>1/(1+E367)</f>
        <v>0.85470085470085477</v>
      </c>
      <c r="F368" s="2"/>
    </row>
    <row r="369" spans="2:10">
      <c r="B369" s="2" t="s">
        <v>51</v>
      </c>
      <c r="C369" s="18">
        <f>C368</f>
        <v>0.81967213114754101</v>
      </c>
      <c r="D369" s="18">
        <f>C368*D368</f>
        <v>0.67186240257995167</v>
      </c>
      <c r="E369" s="18">
        <f>C368*D368*E368</f>
        <v>0.57424136972645445</v>
      </c>
      <c r="F369" s="18">
        <f>E369</f>
        <v>0.57424136972645445</v>
      </c>
    </row>
    <row r="370" spans="2:10">
      <c r="B370" s="2" t="s">
        <v>52</v>
      </c>
      <c r="C370" s="2">
        <f>C366*C369</f>
        <v>-155737704.9180328</v>
      </c>
      <c r="D370" s="2">
        <f>D366*D369</f>
        <v>-127653856.49019082</v>
      </c>
      <c r="E370" s="2">
        <f>E366*E369</f>
        <v>48810516.426748626</v>
      </c>
      <c r="F370" s="2">
        <f>F366*F369</f>
        <v>330188787.59271133</v>
      </c>
    </row>
    <row r="371" spans="2:10">
      <c r="B371" s="2" t="s">
        <v>53</v>
      </c>
      <c r="C371" s="82">
        <f>C370+D370+E370+F370</f>
        <v>95607742.611236334</v>
      </c>
      <c r="D371" s="2"/>
      <c r="E371" s="2"/>
      <c r="F371" s="2"/>
    </row>
    <row r="373" spans="2:10" ht="19.5" thickBot="1"/>
    <row r="374" spans="2:10" ht="153" customHeight="1" thickBot="1">
      <c r="B374" s="145" t="s">
        <v>705</v>
      </c>
      <c r="C374" s="146"/>
      <c r="D374" s="146"/>
      <c r="E374" s="146"/>
      <c r="F374" s="146"/>
      <c r="G374" s="146"/>
      <c r="H374" s="146"/>
      <c r="I374" s="146"/>
      <c r="J374" s="147"/>
    </row>
    <row r="377" spans="2:10">
      <c r="B377" s="2" t="s">
        <v>0</v>
      </c>
      <c r="C377" s="16">
        <v>1</v>
      </c>
      <c r="D377" s="16">
        <v>2</v>
      </c>
      <c r="E377" s="16">
        <v>3</v>
      </c>
      <c r="F377" s="17" t="s">
        <v>1</v>
      </c>
    </row>
    <row r="378" spans="2:10">
      <c r="B378" s="2" t="s">
        <v>46</v>
      </c>
      <c r="C378" s="2">
        <f>-380000000/2</f>
        <v>-190000000</v>
      </c>
      <c r="D378" s="2">
        <f>-380000000/2</f>
        <v>-190000000</v>
      </c>
      <c r="E378" s="2"/>
      <c r="F378" s="2"/>
    </row>
    <row r="379" spans="2:10">
      <c r="B379" s="2" t="s">
        <v>3</v>
      </c>
      <c r="C379" s="2"/>
      <c r="D379" s="2"/>
      <c r="E379" s="2">
        <v>4000</v>
      </c>
      <c r="F379" s="2"/>
    </row>
    <row r="380" spans="2:10">
      <c r="B380" s="2" t="s">
        <v>47</v>
      </c>
      <c r="C380" s="2"/>
      <c r="D380" s="2"/>
      <c r="E380" s="2">
        <v>25000</v>
      </c>
      <c r="F380" s="2"/>
    </row>
    <row r="381" spans="2:10">
      <c r="B381" s="2" t="s">
        <v>492</v>
      </c>
      <c r="C381" s="2"/>
      <c r="D381" s="2"/>
      <c r="E381" s="5">
        <v>0.3</v>
      </c>
      <c r="F381" s="5"/>
    </row>
    <row r="382" spans="2:10">
      <c r="B382" s="2" t="s">
        <v>49</v>
      </c>
      <c r="C382" s="2"/>
      <c r="D382" s="2"/>
      <c r="E382" s="2">
        <f>E379*E380*(1-E381)</f>
        <v>70000000</v>
      </c>
      <c r="F382" s="2"/>
    </row>
    <row r="383" spans="2:10">
      <c r="B383" s="2" t="s">
        <v>14</v>
      </c>
      <c r="C383" s="2"/>
      <c r="D383" s="2"/>
      <c r="E383" s="2"/>
      <c r="F383" s="5"/>
    </row>
    <row r="384" spans="2:10">
      <c r="B384" s="2" t="s">
        <v>15</v>
      </c>
      <c r="C384" s="2"/>
      <c r="D384" s="2"/>
      <c r="E384" s="2"/>
      <c r="F384" s="2"/>
    </row>
    <row r="385" spans="2:10">
      <c r="B385" s="2" t="s">
        <v>50</v>
      </c>
      <c r="C385" s="2">
        <f>C378</f>
        <v>-190000000</v>
      </c>
      <c r="D385" s="2">
        <f>D378</f>
        <v>-190000000</v>
      </c>
      <c r="E385" s="2">
        <f>E382</f>
        <v>70000000</v>
      </c>
      <c r="F385" s="9">
        <f>115000*5000</f>
        <v>575000000</v>
      </c>
    </row>
    <row r="386" spans="2:10">
      <c r="B386" s="2" t="s">
        <v>16</v>
      </c>
      <c r="C386" s="5">
        <v>0.22</v>
      </c>
      <c r="D386" s="5">
        <v>0.22</v>
      </c>
      <c r="E386" s="5">
        <v>0.17</v>
      </c>
      <c r="F386" s="2"/>
    </row>
    <row r="387" spans="2:10">
      <c r="B387" s="2" t="s">
        <v>54</v>
      </c>
      <c r="C387" s="18">
        <f>1/(1+C386)</f>
        <v>0.81967213114754101</v>
      </c>
      <c r="D387" s="18">
        <f>1/(1+D386)</f>
        <v>0.81967213114754101</v>
      </c>
      <c r="E387" s="18">
        <f>1/(1+E386)</f>
        <v>0.85470085470085477</v>
      </c>
      <c r="F387" s="2"/>
    </row>
    <row r="388" spans="2:10">
      <c r="B388" s="2" t="s">
        <v>51</v>
      </c>
      <c r="C388" s="18">
        <f>C387</f>
        <v>0.81967213114754101</v>
      </c>
      <c r="D388" s="18">
        <f>C387*D387</f>
        <v>0.67186240257995167</v>
      </c>
      <c r="E388" s="18">
        <f>C387*D387*E387</f>
        <v>0.57424136972645445</v>
      </c>
      <c r="F388" s="18">
        <f>E388</f>
        <v>0.57424136972645445</v>
      </c>
    </row>
    <row r="389" spans="2:10">
      <c r="B389" s="2" t="s">
        <v>52</v>
      </c>
      <c r="C389" s="2">
        <f>C385*C388</f>
        <v>-155737704.9180328</v>
      </c>
      <c r="D389" s="2">
        <f>D385*D388</f>
        <v>-127653856.49019082</v>
      </c>
      <c r="E389" s="2">
        <f>E385*E388</f>
        <v>40196895.880851813</v>
      </c>
      <c r="F389" s="2">
        <f>F385*F388</f>
        <v>330188787.59271133</v>
      </c>
      <c r="G389" s="83">
        <f>SUM(C389:F389)</f>
        <v>86994122.065339506</v>
      </c>
    </row>
    <row r="390" spans="2:10">
      <c r="B390" s="2" t="s">
        <v>53</v>
      </c>
      <c r="C390" s="82">
        <f>C389+D389+E389+F389</f>
        <v>86994122.065339506</v>
      </c>
      <c r="D390" s="2"/>
      <c r="E390" s="2"/>
      <c r="F390" s="2"/>
    </row>
    <row r="392" spans="2:10" ht="19.5" thickBot="1"/>
    <row r="393" spans="2:10" ht="60.75" customHeight="1" thickBot="1">
      <c r="B393" s="145" t="s">
        <v>532</v>
      </c>
      <c r="C393" s="146"/>
      <c r="D393" s="146"/>
      <c r="E393" s="146"/>
      <c r="F393" s="146"/>
      <c r="G393" s="146"/>
      <c r="H393" s="146"/>
      <c r="I393" s="146"/>
      <c r="J393" s="147"/>
    </row>
    <row r="395" spans="2:10">
      <c r="B395" s="2" t="s">
        <v>0</v>
      </c>
      <c r="C395" s="3">
        <v>0</v>
      </c>
      <c r="D395" s="3">
        <v>1</v>
      </c>
      <c r="E395" s="3">
        <v>2</v>
      </c>
    </row>
    <row r="396" spans="2:10">
      <c r="B396" s="2" t="s">
        <v>123</v>
      </c>
      <c r="C396" s="2"/>
      <c r="D396" s="2">
        <v>1000000</v>
      </c>
      <c r="E396" s="2">
        <v>2000000</v>
      </c>
    </row>
    <row r="397" spans="2:10">
      <c r="B397" s="2" t="s">
        <v>124</v>
      </c>
      <c r="C397" s="2">
        <v>-200000</v>
      </c>
      <c r="D397" s="2">
        <v>-1000000</v>
      </c>
      <c r="E397" s="2"/>
    </row>
    <row r="398" spans="2:10">
      <c r="B398" s="2" t="s">
        <v>50</v>
      </c>
      <c r="C398" s="2">
        <f>C396+C397</f>
        <v>-200000</v>
      </c>
      <c r="D398" s="2">
        <f>D396+D397</f>
        <v>0</v>
      </c>
      <c r="E398" s="2">
        <f>E396+E397</f>
        <v>2000000</v>
      </c>
    </row>
    <row r="399" spans="2:10">
      <c r="B399" s="2" t="s">
        <v>16</v>
      </c>
      <c r="C399" s="5">
        <v>0.1</v>
      </c>
      <c r="D399" s="5">
        <v>0.1</v>
      </c>
      <c r="E399" s="5">
        <v>0.1</v>
      </c>
    </row>
    <row r="400" spans="2:10">
      <c r="B400" s="2" t="s">
        <v>17</v>
      </c>
      <c r="C400" s="2">
        <f>C398/(1+C399)^C395</f>
        <v>-200000</v>
      </c>
      <c r="D400" s="2">
        <f t="shared" ref="D400:E400" si="25">D398/(1+D399)^D395</f>
        <v>0</v>
      </c>
      <c r="E400" s="2">
        <f t="shared" si="25"/>
        <v>1652892.5619834708</v>
      </c>
    </row>
    <row r="401" spans="2:10">
      <c r="B401" s="2" t="s">
        <v>125</v>
      </c>
      <c r="C401" s="82">
        <f>C400+D400+E400</f>
        <v>1452892.5619834708</v>
      </c>
      <c r="D401" s="2"/>
      <c r="E401" s="2"/>
    </row>
    <row r="403" spans="2:10" ht="19.5" thickBot="1"/>
    <row r="404" spans="2:10" ht="60" customHeight="1" thickBot="1">
      <c r="B404" s="145" t="s">
        <v>126</v>
      </c>
      <c r="C404" s="146"/>
      <c r="D404" s="146"/>
      <c r="E404" s="146"/>
      <c r="F404" s="146"/>
      <c r="G404" s="146"/>
      <c r="H404" s="146"/>
      <c r="I404" s="146"/>
      <c r="J404" s="147"/>
    </row>
    <row r="406" spans="2:10">
      <c r="B406" s="2" t="s">
        <v>127</v>
      </c>
      <c r="C406" s="2">
        <v>3000000</v>
      </c>
    </row>
    <row r="407" spans="2:10">
      <c r="B407" s="2" t="s">
        <v>16</v>
      </c>
      <c r="C407" s="5">
        <v>0.18</v>
      </c>
    </row>
    <row r="408" spans="2:10">
      <c r="B408" s="2" t="s">
        <v>109</v>
      </c>
      <c r="C408" s="2">
        <v>25</v>
      </c>
    </row>
    <row r="409" spans="2:10">
      <c r="B409" s="2" t="s">
        <v>31</v>
      </c>
      <c r="C409" s="2">
        <v>700000</v>
      </c>
    </row>
    <row r="410" spans="2:10">
      <c r="B410" s="14" t="s">
        <v>35</v>
      </c>
      <c r="C410" s="2"/>
    </row>
    <row r="411" spans="2:10">
      <c r="B411" s="2" t="s">
        <v>29</v>
      </c>
      <c r="C411" s="5">
        <f>1/C408</f>
        <v>0.04</v>
      </c>
    </row>
    <row r="412" spans="2:10">
      <c r="B412" s="2" t="s">
        <v>128</v>
      </c>
      <c r="C412" s="5">
        <f>C407+C411</f>
        <v>0.22</v>
      </c>
    </row>
    <row r="413" spans="2:10">
      <c r="B413" s="2" t="s">
        <v>129</v>
      </c>
      <c r="C413" s="2">
        <f>C406*C412</f>
        <v>660000</v>
      </c>
    </row>
    <row r="414" spans="2:10">
      <c r="B414" s="2" t="s">
        <v>84</v>
      </c>
      <c r="C414" s="2">
        <f>C409-C413</f>
        <v>40000</v>
      </c>
    </row>
    <row r="415" spans="2:10">
      <c r="B415" s="2" t="s">
        <v>45</v>
      </c>
      <c r="C415" s="84">
        <f>C414/C407</f>
        <v>222222.22222222222</v>
      </c>
    </row>
    <row r="417" spans="2:10" ht="19.5" thickBot="1"/>
    <row r="418" spans="2:10" ht="144" customHeight="1" thickBot="1">
      <c r="B418" s="145" t="s">
        <v>706</v>
      </c>
      <c r="C418" s="146"/>
      <c r="D418" s="146"/>
      <c r="E418" s="146"/>
      <c r="F418" s="146"/>
      <c r="G418" s="146"/>
      <c r="H418" s="146"/>
      <c r="I418" s="146"/>
      <c r="J418" s="147"/>
    </row>
    <row r="420" spans="2:10">
      <c r="B420" s="2" t="s">
        <v>0</v>
      </c>
      <c r="C420" s="73">
        <v>1</v>
      </c>
      <c r="D420" s="73">
        <v>2</v>
      </c>
      <c r="E420" s="73">
        <v>3</v>
      </c>
      <c r="F420" s="73">
        <v>3</v>
      </c>
    </row>
    <row r="421" spans="2:10">
      <c r="B421" s="2" t="s">
        <v>46</v>
      </c>
      <c r="C421" s="2">
        <f>-380000000/2</f>
        <v>-190000000</v>
      </c>
      <c r="D421" s="2">
        <f>-380000000/2</f>
        <v>-190000000</v>
      </c>
      <c r="E421" s="2"/>
      <c r="F421" s="2"/>
    </row>
    <row r="422" spans="2:10">
      <c r="B422" s="2" t="s">
        <v>3</v>
      </c>
      <c r="C422" s="2"/>
      <c r="D422" s="2"/>
      <c r="E422" s="2">
        <v>4000</v>
      </c>
      <c r="F422" s="2"/>
    </row>
    <row r="423" spans="2:10">
      <c r="B423" s="2" t="s">
        <v>602</v>
      </c>
      <c r="C423" s="2"/>
      <c r="D423" s="2"/>
      <c r="E423" s="2">
        <v>25000</v>
      </c>
      <c r="F423" s="2"/>
    </row>
    <row r="424" spans="2:10">
      <c r="B424" s="2" t="s">
        <v>19</v>
      </c>
      <c r="C424" s="2"/>
      <c r="D424" s="2"/>
      <c r="E424" s="2">
        <f>E422*E423</f>
        <v>100000000</v>
      </c>
      <c r="F424" s="2"/>
    </row>
    <row r="425" spans="2:10">
      <c r="B425" s="2" t="s">
        <v>48</v>
      </c>
      <c r="C425" s="2"/>
      <c r="D425" s="2"/>
      <c r="E425" s="95">
        <v>0.85</v>
      </c>
      <c r="F425" s="2"/>
    </row>
    <row r="426" spans="2:10">
      <c r="B426" s="2" t="s">
        <v>89</v>
      </c>
      <c r="C426" s="2">
        <f>C421</f>
        <v>-190000000</v>
      </c>
      <c r="D426" s="2">
        <f>D421</f>
        <v>-190000000</v>
      </c>
      <c r="E426" s="2">
        <f>E424*E425</f>
        <v>85000000</v>
      </c>
      <c r="F426" s="2">
        <f>115000*5000</f>
        <v>575000000</v>
      </c>
    </row>
    <row r="427" spans="2:10">
      <c r="B427" s="2" t="s">
        <v>16</v>
      </c>
      <c r="C427" s="95">
        <v>0.22</v>
      </c>
      <c r="D427" s="95">
        <v>0.22</v>
      </c>
      <c r="E427" s="95">
        <v>0.17</v>
      </c>
      <c r="F427" s="95">
        <v>0.17</v>
      </c>
    </row>
    <row r="428" spans="2:10">
      <c r="B428" s="2" t="s">
        <v>603</v>
      </c>
      <c r="C428" s="18">
        <f>1/(1+C427)</f>
        <v>0.81967213114754101</v>
      </c>
      <c r="D428" s="18">
        <f>1/(1+D427)</f>
        <v>0.81967213114754101</v>
      </c>
      <c r="E428" s="18">
        <f>1/(1+E427)</f>
        <v>0.85470085470085477</v>
      </c>
      <c r="F428" s="18">
        <f>1/(1+F427)</f>
        <v>0.85470085470085477</v>
      </c>
    </row>
    <row r="429" spans="2:10">
      <c r="B429" s="2" t="s">
        <v>604</v>
      </c>
      <c r="C429" s="2">
        <f>C428</f>
        <v>0.81967213114754101</v>
      </c>
      <c r="D429" s="2">
        <f>C428*D428</f>
        <v>0.67186240257995167</v>
      </c>
      <c r="E429" s="2">
        <f>C428*D428*E428</f>
        <v>0.57424136972645445</v>
      </c>
      <c r="F429" s="2">
        <f>E429</f>
        <v>0.57424136972645445</v>
      </c>
    </row>
    <row r="430" spans="2:10">
      <c r="B430" s="2" t="s">
        <v>52</v>
      </c>
      <c r="C430" s="2">
        <f>C426*C429</f>
        <v>-155737704.9180328</v>
      </c>
      <c r="D430" s="2">
        <f>D426*D429</f>
        <v>-127653856.49019082</v>
      </c>
      <c r="E430" s="2">
        <f>E426*E429</f>
        <v>48810516.426748626</v>
      </c>
      <c r="F430" s="2">
        <f>F426*F429</f>
        <v>330188787.59271133</v>
      </c>
      <c r="G430" s="80">
        <f>SUM(C430:F430)</f>
        <v>95607742.611236334</v>
      </c>
    </row>
    <row r="432" spans="2:10" ht="19.5" thickBot="1"/>
    <row r="433" spans="2:10" ht="40.5" customHeight="1" thickBot="1">
      <c r="B433" s="145" t="s">
        <v>606</v>
      </c>
      <c r="C433" s="146"/>
      <c r="D433" s="146"/>
      <c r="E433" s="146"/>
      <c r="F433" s="146"/>
      <c r="G433" s="146"/>
      <c r="H433" s="146"/>
      <c r="I433" s="146"/>
      <c r="J433" s="147"/>
    </row>
    <row r="435" spans="2:10">
      <c r="B435" s="2" t="s">
        <v>49</v>
      </c>
      <c r="C435" s="2">
        <v>2200000</v>
      </c>
    </row>
    <row r="436" spans="2:10">
      <c r="B436" s="2" t="s">
        <v>307</v>
      </c>
      <c r="C436" s="2">
        <v>2500</v>
      </c>
    </row>
    <row r="437" spans="2:10">
      <c r="B437" s="2" t="s">
        <v>2</v>
      </c>
      <c r="C437" s="2">
        <v>200</v>
      </c>
    </row>
    <row r="438" spans="2:10">
      <c r="B438" s="2" t="s">
        <v>188</v>
      </c>
      <c r="C438" s="2">
        <v>0.1</v>
      </c>
    </row>
    <row r="439" spans="2:10">
      <c r="B439" s="14" t="s">
        <v>35</v>
      </c>
      <c r="C439" s="2"/>
    </row>
    <row r="440" spans="2:10">
      <c r="B440" s="2" t="s">
        <v>307</v>
      </c>
      <c r="C440" s="2">
        <f>C436*C437</f>
        <v>500000</v>
      </c>
    </row>
    <row r="441" spans="2:10">
      <c r="B441" s="2" t="s">
        <v>55</v>
      </c>
      <c r="C441" s="2">
        <f>C435-C440</f>
        <v>1700000</v>
      </c>
    </row>
    <row r="442" spans="2:10">
      <c r="B442" s="2" t="s">
        <v>53</v>
      </c>
      <c r="C442" s="82">
        <f>C441/C438</f>
        <v>17000000</v>
      </c>
    </row>
    <row r="444" spans="2:10" ht="19.5" thickBot="1"/>
    <row r="445" spans="2:10" ht="41.25" customHeight="1" thickBot="1">
      <c r="B445" s="145" t="s">
        <v>607</v>
      </c>
      <c r="C445" s="146"/>
      <c r="D445" s="146"/>
      <c r="E445" s="146"/>
      <c r="F445" s="146"/>
      <c r="G445" s="146"/>
      <c r="H445" s="146"/>
      <c r="I445" s="146"/>
      <c r="J445" s="147"/>
    </row>
    <row r="447" spans="2:10">
      <c r="B447" s="2" t="s">
        <v>608</v>
      </c>
      <c r="C447" s="2">
        <v>12000</v>
      </c>
    </row>
    <row r="448" spans="2:10">
      <c r="B448" s="2" t="s">
        <v>48</v>
      </c>
      <c r="C448" s="2">
        <v>0.6</v>
      </c>
    </row>
    <row r="449" spans="2:10">
      <c r="B449" s="2" t="s">
        <v>609</v>
      </c>
      <c r="C449" s="2">
        <v>1100</v>
      </c>
    </row>
    <row r="450" spans="2:10">
      <c r="B450" s="14" t="s">
        <v>35</v>
      </c>
      <c r="C450" s="2"/>
    </row>
    <row r="451" spans="2:10">
      <c r="B451" s="2" t="s">
        <v>49</v>
      </c>
      <c r="C451" s="82">
        <f>C447*C448</f>
        <v>7200</v>
      </c>
    </row>
    <row r="453" spans="2:10" ht="19.5" thickBot="1"/>
    <row r="454" spans="2:10" ht="203.25" customHeight="1" thickBot="1">
      <c r="B454" s="149" t="s">
        <v>610</v>
      </c>
      <c r="C454" s="150"/>
      <c r="D454" s="150"/>
      <c r="E454" s="150"/>
      <c r="F454" s="150"/>
      <c r="G454" s="150"/>
      <c r="H454" s="150"/>
      <c r="I454" s="150"/>
      <c r="J454" s="151"/>
    </row>
    <row r="456" spans="2:10">
      <c r="B456" s="2" t="s">
        <v>0</v>
      </c>
      <c r="C456" s="3">
        <v>1</v>
      </c>
      <c r="D456" s="3">
        <v>2</v>
      </c>
      <c r="E456" s="3">
        <v>3</v>
      </c>
      <c r="F456" s="4" t="s">
        <v>1</v>
      </c>
      <c r="G456" s="2"/>
    </row>
    <row r="457" spans="2:10">
      <c r="B457" s="2" t="s">
        <v>2</v>
      </c>
      <c r="C457" s="2">
        <v>5000</v>
      </c>
      <c r="D457" s="2">
        <v>5000</v>
      </c>
      <c r="E457" s="2">
        <v>5000</v>
      </c>
      <c r="F457" s="2">
        <v>5000</v>
      </c>
      <c r="G457" s="2"/>
    </row>
    <row r="458" spans="2:10">
      <c r="B458" s="2" t="s">
        <v>3</v>
      </c>
      <c r="C458" s="2">
        <v>4000</v>
      </c>
      <c r="D458" s="2">
        <v>4000</v>
      </c>
      <c r="E458" s="2">
        <v>4000</v>
      </c>
      <c r="F458" s="2">
        <v>4000</v>
      </c>
      <c r="G458" s="2"/>
    </row>
    <row r="459" spans="2:10">
      <c r="B459" s="2" t="s">
        <v>4</v>
      </c>
      <c r="C459" s="5">
        <v>0</v>
      </c>
      <c r="D459" s="5">
        <v>0</v>
      </c>
      <c r="E459" s="5">
        <v>0.3</v>
      </c>
      <c r="F459" s="5">
        <v>0.1</v>
      </c>
      <c r="G459" s="2"/>
    </row>
    <row r="460" spans="2:10">
      <c r="B460" s="2" t="s">
        <v>5</v>
      </c>
      <c r="C460" s="2">
        <f>C458*(1-C459)</f>
        <v>4000</v>
      </c>
      <c r="D460" s="2">
        <f t="shared" ref="D460:F460" si="26">D458*(1-D459)</f>
        <v>4000</v>
      </c>
      <c r="E460" s="2">
        <f t="shared" si="26"/>
        <v>2800</v>
      </c>
      <c r="F460" s="2">
        <f t="shared" si="26"/>
        <v>3600</v>
      </c>
      <c r="G460" s="2"/>
    </row>
    <row r="461" spans="2:10">
      <c r="B461" s="2" t="s">
        <v>13</v>
      </c>
      <c r="C461" s="2">
        <v>15000</v>
      </c>
      <c r="D461" s="2">
        <v>15000</v>
      </c>
      <c r="E461" s="2">
        <v>25000</v>
      </c>
      <c r="F461" s="2">
        <v>25000</v>
      </c>
      <c r="G461" s="2"/>
    </row>
    <row r="462" spans="2:10">
      <c r="B462" s="2" t="s">
        <v>7</v>
      </c>
      <c r="C462" s="7">
        <f>C460*C461</f>
        <v>60000000</v>
      </c>
      <c r="D462" s="7">
        <f t="shared" ref="D462:F462" si="27">D460*D461</f>
        <v>60000000</v>
      </c>
      <c r="E462" s="7">
        <f t="shared" si="27"/>
        <v>70000000</v>
      </c>
      <c r="F462" s="7">
        <f t="shared" si="27"/>
        <v>90000000</v>
      </c>
      <c r="G462" s="2"/>
    </row>
    <row r="463" spans="2:10">
      <c r="B463" s="2" t="s">
        <v>12</v>
      </c>
      <c r="C463" s="2">
        <v>5000</v>
      </c>
      <c r="D463" s="2">
        <v>5000</v>
      </c>
      <c r="E463" s="2">
        <v>5000</v>
      </c>
      <c r="F463" s="2">
        <v>5000</v>
      </c>
      <c r="G463" s="2"/>
    </row>
    <row r="464" spans="2:10">
      <c r="B464" s="2" t="s">
        <v>611</v>
      </c>
      <c r="C464" s="7">
        <f>C463*C458</f>
        <v>20000000</v>
      </c>
      <c r="D464" s="7">
        <f>D463*D458</f>
        <v>20000000</v>
      </c>
      <c r="E464" s="7">
        <f>E463*E458</f>
        <v>20000000</v>
      </c>
      <c r="F464" s="7">
        <f>F463*F458</f>
        <v>20000000</v>
      </c>
      <c r="G464" s="2"/>
    </row>
    <row r="465" spans="2:10">
      <c r="B465" s="2" t="s">
        <v>8</v>
      </c>
      <c r="C465" s="7">
        <f>C462+C464</f>
        <v>80000000</v>
      </c>
      <c r="D465" s="7">
        <f t="shared" ref="D465:F465" si="28">D462+D464</f>
        <v>80000000</v>
      </c>
      <c r="E465" s="7">
        <f t="shared" si="28"/>
        <v>90000000</v>
      </c>
      <c r="F465" s="7">
        <f t="shared" si="28"/>
        <v>110000000</v>
      </c>
      <c r="G465" s="2"/>
    </row>
    <row r="466" spans="2:10">
      <c r="B466" s="2" t="s">
        <v>11</v>
      </c>
      <c r="C466" s="2">
        <v>7000</v>
      </c>
      <c r="D466" s="2">
        <v>7000</v>
      </c>
      <c r="E466" s="2">
        <v>7000</v>
      </c>
      <c r="F466" s="2">
        <v>7000</v>
      </c>
      <c r="G466" s="2"/>
    </row>
    <row r="467" spans="2:10">
      <c r="B467" s="2" t="s">
        <v>9</v>
      </c>
      <c r="C467" s="8">
        <f>C466*C457</f>
        <v>35000000</v>
      </c>
      <c r="D467" s="8">
        <f t="shared" ref="D467:F467" si="29">D466*D457</f>
        <v>35000000</v>
      </c>
      <c r="E467" s="8">
        <f t="shared" si="29"/>
        <v>35000000</v>
      </c>
      <c r="F467" s="8">
        <f t="shared" si="29"/>
        <v>35000000</v>
      </c>
      <c r="G467" s="2"/>
    </row>
    <row r="468" spans="2:10">
      <c r="B468" s="2" t="s">
        <v>10</v>
      </c>
      <c r="C468" s="2">
        <f>C465-C467</f>
        <v>45000000</v>
      </c>
      <c r="D468" s="2">
        <f t="shared" ref="D468:F468" si="30">D465-D467</f>
        <v>45000000</v>
      </c>
      <c r="E468" s="2">
        <f t="shared" si="30"/>
        <v>55000000</v>
      </c>
      <c r="F468" s="6">
        <f t="shared" si="30"/>
        <v>75000000</v>
      </c>
      <c r="G468" s="2"/>
    </row>
    <row r="469" spans="2:10">
      <c r="B469" s="2" t="s">
        <v>14</v>
      </c>
      <c r="C469" s="2"/>
      <c r="D469" s="2"/>
      <c r="E469" s="2"/>
      <c r="F469" s="5">
        <v>0.1</v>
      </c>
      <c r="G469" s="2"/>
    </row>
    <row r="470" spans="2:10">
      <c r="B470" s="2" t="s">
        <v>15</v>
      </c>
      <c r="C470" s="2"/>
      <c r="D470" s="2"/>
      <c r="E470" s="2"/>
      <c r="F470" s="2">
        <f>F468/F469</f>
        <v>750000000</v>
      </c>
      <c r="G470" s="2"/>
    </row>
    <row r="471" spans="2:10">
      <c r="B471" s="2" t="s">
        <v>16</v>
      </c>
      <c r="C471" s="5">
        <v>0.16</v>
      </c>
      <c r="D471" s="5">
        <v>0.16</v>
      </c>
      <c r="E471" s="5">
        <v>0.16</v>
      </c>
      <c r="F471" s="5">
        <v>0.16</v>
      </c>
      <c r="G471" s="2"/>
    </row>
    <row r="472" spans="2:10">
      <c r="B472" s="2" t="s">
        <v>17</v>
      </c>
      <c r="C472" s="2">
        <f>C468/(1+C471)^C456</f>
        <v>38793103.448275864</v>
      </c>
      <c r="D472" s="2">
        <f>D468/(1+D471)^D456</f>
        <v>33442330.558858503</v>
      </c>
      <c r="E472" s="2">
        <f>E468/(1+E471)^E456</f>
        <v>35236172.044774286</v>
      </c>
      <c r="F472" s="9">
        <f>F470/(1+F471)^E456</f>
        <v>480493255.15601301</v>
      </c>
      <c r="G472" s="82">
        <f>ROUND(C472+D472+E472+F472,-6)</f>
        <v>588000000</v>
      </c>
    </row>
    <row r="474" spans="2:10" ht="19.5" thickBot="1"/>
    <row r="475" spans="2:10" ht="153.75" customHeight="1" thickBot="1">
      <c r="B475" s="145" t="s">
        <v>707</v>
      </c>
      <c r="C475" s="146"/>
      <c r="D475" s="146"/>
      <c r="E475" s="146"/>
      <c r="F475" s="146"/>
      <c r="G475" s="146"/>
      <c r="H475" s="146"/>
      <c r="I475" s="146"/>
      <c r="J475" s="147"/>
    </row>
    <row r="477" spans="2:10">
      <c r="B477" s="2" t="s">
        <v>0</v>
      </c>
      <c r="C477" s="73">
        <v>1</v>
      </c>
      <c r="D477" s="73">
        <v>2</v>
      </c>
      <c r="E477" s="73">
        <v>3</v>
      </c>
      <c r="F477" s="73">
        <v>3</v>
      </c>
    </row>
    <row r="478" spans="2:10">
      <c r="B478" s="2" t="s">
        <v>46</v>
      </c>
      <c r="C478" s="2">
        <v>-50000000</v>
      </c>
      <c r="D478" s="2">
        <v>-50000000</v>
      </c>
      <c r="E478" s="2"/>
      <c r="F478" s="2"/>
    </row>
    <row r="479" spans="2:10">
      <c r="B479" s="2" t="s">
        <v>3</v>
      </c>
      <c r="C479" s="2"/>
      <c r="D479" s="2"/>
      <c r="E479" s="2">
        <v>4000</v>
      </c>
      <c r="F479" s="2">
        <v>4000</v>
      </c>
    </row>
    <row r="480" spans="2:10">
      <c r="B480" s="2" t="s">
        <v>602</v>
      </c>
      <c r="C480" s="2"/>
      <c r="D480" s="2"/>
      <c r="E480" s="2">
        <v>25000</v>
      </c>
      <c r="F480" s="2">
        <v>25000</v>
      </c>
    </row>
    <row r="481" spans="2:10">
      <c r="B481" s="2" t="s">
        <v>19</v>
      </c>
      <c r="C481" s="2"/>
      <c r="D481" s="2"/>
      <c r="E481" s="2">
        <f>E479*E480</f>
        <v>100000000</v>
      </c>
      <c r="F481" s="2">
        <f>F479*F480</f>
        <v>100000000</v>
      </c>
    </row>
    <row r="482" spans="2:10">
      <c r="B482" s="2" t="s">
        <v>48</v>
      </c>
      <c r="C482" s="2"/>
      <c r="D482" s="2"/>
      <c r="E482" s="95">
        <v>0.7</v>
      </c>
      <c r="F482" s="95">
        <v>0.85</v>
      </c>
    </row>
    <row r="483" spans="2:10">
      <c r="B483" s="2" t="s">
        <v>55</v>
      </c>
      <c r="C483" s="2"/>
      <c r="D483" s="2"/>
      <c r="E483" s="2">
        <f>E481*E482</f>
        <v>70000000</v>
      </c>
      <c r="F483" s="2">
        <f>F481*F482</f>
        <v>85000000</v>
      </c>
    </row>
    <row r="484" spans="2:10">
      <c r="B484" s="2" t="s">
        <v>188</v>
      </c>
      <c r="C484" s="2"/>
      <c r="D484" s="2"/>
      <c r="E484" s="95"/>
      <c r="F484" s="95">
        <v>0.1</v>
      </c>
    </row>
    <row r="485" spans="2:10">
      <c r="B485" s="2" t="s">
        <v>89</v>
      </c>
      <c r="C485" s="2">
        <f>C478</f>
        <v>-50000000</v>
      </c>
      <c r="D485" s="2">
        <f>D478</f>
        <v>-50000000</v>
      </c>
      <c r="E485" s="2">
        <f>E483</f>
        <v>70000000</v>
      </c>
      <c r="F485" s="2">
        <f>F483/F484</f>
        <v>850000000</v>
      </c>
    </row>
    <row r="486" spans="2:10">
      <c r="B486" s="2" t="s">
        <v>16</v>
      </c>
      <c r="C486" s="95">
        <v>0.2</v>
      </c>
      <c r="D486" s="95">
        <v>0.2</v>
      </c>
      <c r="E486" s="95">
        <v>0.16</v>
      </c>
      <c r="F486" s="95">
        <v>0.16</v>
      </c>
    </row>
    <row r="487" spans="2:10">
      <c r="B487" s="2" t="s">
        <v>603</v>
      </c>
      <c r="C487" s="18">
        <f>1/(1+C486)</f>
        <v>0.83333333333333337</v>
      </c>
      <c r="D487" s="18">
        <f>1/(1+D486)</f>
        <v>0.83333333333333337</v>
      </c>
      <c r="E487" s="18">
        <f>1/(1+E486)</f>
        <v>0.86206896551724144</v>
      </c>
      <c r="F487" s="18">
        <f>1/(1+F486)</f>
        <v>0.86206896551724144</v>
      </c>
    </row>
    <row r="488" spans="2:10">
      <c r="B488" s="2" t="s">
        <v>604</v>
      </c>
      <c r="C488" s="2">
        <v>1</v>
      </c>
      <c r="D488" s="2">
        <f>C487*D487</f>
        <v>0.69444444444444453</v>
      </c>
      <c r="E488" s="2">
        <f>D488</f>
        <v>0.69444444444444453</v>
      </c>
      <c r="F488" s="2">
        <f>C487*D487*E487</f>
        <v>0.59865900383141779</v>
      </c>
    </row>
    <row r="489" spans="2:10">
      <c r="B489" s="2" t="s">
        <v>52</v>
      </c>
      <c r="C489" s="2">
        <f>C485*C488</f>
        <v>-50000000</v>
      </c>
      <c r="D489" s="2">
        <f>D485*D488</f>
        <v>-34722222.222222224</v>
      </c>
      <c r="E489" s="2">
        <f>E485*E488</f>
        <v>48611111.111111119</v>
      </c>
      <c r="F489" s="2">
        <f>F485*F488</f>
        <v>508860153.25670511</v>
      </c>
      <c r="G489" s="80">
        <f>SUM(C489:F489)</f>
        <v>472749042.145594</v>
      </c>
    </row>
    <row r="491" spans="2:10" ht="19.5" thickBot="1"/>
    <row r="492" spans="2:10" ht="60" customHeight="1" thickBot="1">
      <c r="B492" s="145" t="s">
        <v>612</v>
      </c>
      <c r="C492" s="146"/>
      <c r="D492" s="146"/>
      <c r="E492" s="146"/>
      <c r="F492" s="146"/>
      <c r="G492" s="146"/>
      <c r="H492" s="146"/>
      <c r="I492" s="146"/>
      <c r="J492" s="147"/>
    </row>
    <row r="494" spans="2:10">
      <c r="B494" s="2" t="s">
        <v>708</v>
      </c>
      <c r="C494" s="2">
        <v>700000</v>
      </c>
    </row>
    <row r="495" spans="2:10">
      <c r="B495" s="2" t="s">
        <v>709</v>
      </c>
      <c r="C495" s="2">
        <v>2500</v>
      </c>
    </row>
    <row r="496" spans="2:10">
      <c r="B496" s="2" t="s">
        <v>2</v>
      </c>
      <c r="C496" s="2">
        <v>1200</v>
      </c>
    </row>
    <row r="497" spans="2:10">
      <c r="B497" s="2" t="s">
        <v>188</v>
      </c>
      <c r="C497" s="2">
        <v>0.1</v>
      </c>
    </row>
    <row r="498" spans="2:10">
      <c r="B498" s="14" t="s">
        <v>35</v>
      </c>
      <c r="C498" s="2"/>
    </row>
    <row r="499" spans="2:10">
      <c r="B499" s="2" t="s">
        <v>49</v>
      </c>
      <c r="C499" s="2">
        <f>C494*12</f>
        <v>8400000</v>
      </c>
    </row>
    <row r="500" spans="2:10">
      <c r="B500" s="2" t="s">
        <v>307</v>
      </c>
      <c r="C500" s="2">
        <f>C495*C496</f>
        <v>3000000</v>
      </c>
    </row>
    <row r="501" spans="2:10">
      <c r="B501" s="2" t="s">
        <v>55</v>
      </c>
      <c r="C501" s="2">
        <f>C499-C500</f>
        <v>5400000</v>
      </c>
    </row>
    <row r="502" spans="2:10">
      <c r="B502" s="2" t="s">
        <v>53</v>
      </c>
      <c r="C502" s="82">
        <f>C501/C497</f>
        <v>54000000</v>
      </c>
    </row>
    <row r="504" spans="2:10" ht="19.5" thickBot="1"/>
    <row r="505" spans="2:10" ht="205.5" customHeight="1" thickBot="1">
      <c r="B505" s="149" t="s">
        <v>613</v>
      </c>
      <c r="C505" s="150"/>
      <c r="D505" s="150"/>
      <c r="E505" s="150"/>
      <c r="F505" s="150"/>
      <c r="G505" s="150"/>
      <c r="H505" s="150"/>
      <c r="I505" s="150"/>
      <c r="J505" s="151"/>
    </row>
    <row r="507" spans="2:10">
      <c r="B507" s="2" t="s">
        <v>0</v>
      </c>
      <c r="C507" s="3">
        <v>1</v>
      </c>
      <c r="D507" s="3">
        <v>2</v>
      </c>
      <c r="E507" s="3">
        <v>3</v>
      </c>
      <c r="F507" s="4" t="s">
        <v>1</v>
      </c>
      <c r="G507" s="2"/>
    </row>
    <row r="508" spans="2:10">
      <c r="B508" s="2" t="s">
        <v>2</v>
      </c>
      <c r="C508" s="2">
        <v>5000</v>
      </c>
      <c r="D508" s="2">
        <v>5000</v>
      </c>
      <c r="E508" s="2">
        <v>5000</v>
      </c>
      <c r="F508" s="2">
        <v>5000</v>
      </c>
      <c r="G508" s="2"/>
    </row>
    <row r="509" spans="2:10">
      <c r="B509" s="2" t="s">
        <v>3</v>
      </c>
      <c r="C509" s="2">
        <v>4000</v>
      </c>
      <c r="D509" s="2">
        <v>4000</v>
      </c>
      <c r="E509" s="2">
        <v>4000</v>
      </c>
      <c r="F509" s="2">
        <v>4000</v>
      </c>
      <c r="G509" s="2"/>
    </row>
    <row r="510" spans="2:10">
      <c r="B510" s="2" t="s">
        <v>4</v>
      </c>
      <c r="C510" s="5">
        <v>0</v>
      </c>
      <c r="D510" s="5">
        <v>0</v>
      </c>
      <c r="E510" s="5">
        <v>0.3</v>
      </c>
      <c r="F510" s="5">
        <v>0.1</v>
      </c>
      <c r="G510" s="2"/>
    </row>
    <row r="511" spans="2:10">
      <c r="B511" s="2" t="s">
        <v>5</v>
      </c>
      <c r="C511" s="2">
        <f>C509*(1-C510)</f>
        <v>4000</v>
      </c>
      <c r="D511" s="2">
        <f t="shared" ref="D511:F511" si="31">D509*(1-D510)</f>
        <v>4000</v>
      </c>
      <c r="E511" s="2">
        <f t="shared" si="31"/>
        <v>2800</v>
      </c>
      <c r="F511" s="2">
        <f t="shared" si="31"/>
        <v>3600</v>
      </c>
      <c r="G511" s="2"/>
    </row>
    <row r="512" spans="2:10">
      <c r="B512" s="2" t="s">
        <v>13</v>
      </c>
      <c r="C512" s="2">
        <v>15000</v>
      </c>
      <c r="D512" s="2">
        <v>15000</v>
      </c>
      <c r="E512" s="2">
        <v>25000</v>
      </c>
      <c r="F512" s="2">
        <v>25000</v>
      </c>
      <c r="G512" s="2"/>
    </row>
    <row r="513" spans="2:10">
      <c r="B513" s="2" t="s">
        <v>7</v>
      </c>
      <c r="C513" s="7">
        <f>C511*C512</f>
        <v>60000000</v>
      </c>
      <c r="D513" s="7">
        <f t="shared" ref="D513:F513" si="32">D511*D512</f>
        <v>60000000</v>
      </c>
      <c r="E513" s="7">
        <f t="shared" si="32"/>
        <v>70000000</v>
      </c>
      <c r="F513" s="7">
        <f t="shared" si="32"/>
        <v>90000000</v>
      </c>
      <c r="G513" s="2"/>
    </row>
    <row r="514" spans="2:10">
      <c r="B514" s="2" t="s">
        <v>12</v>
      </c>
      <c r="C514" s="2">
        <v>5000</v>
      </c>
      <c r="D514" s="2">
        <v>5000</v>
      </c>
      <c r="E514" s="2">
        <v>5000</v>
      </c>
      <c r="F514" s="2">
        <v>5000</v>
      </c>
      <c r="G514" s="2"/>
    </row>
    <row r="515" spans="2:10">
      <c r="B515" s="2" t="s">
        <v>614</v>
      </c>
      <c r="C515" s="7">
        <f>C514*C511</f>
        <v>20000000</v>
      </c>
      <c r="D515" s="7">
        <f>D514*D511</f>
        <v>20000000</v>
      </c>
      <c r="E515" s="7">
        <f>E514*E511</f>
        <v>14000000</v>
      </c>
      <c r="F515" s="7">
        <f>F514*F511</f>
        <v>18000000</v>
      </c>
      <c r="G515" s="2"/>
    </row>
    <row r="516" spans="2:10">
      <c r="B516" s="2" t="s">
        <v>8</v>
      </c>
      <c r="C516" s="7">
        <f>C513+C515</f>
        <v>80000000</v>
      </c>
      <c r="D516" s="7">
        <f t="shared" ref="D516:F516" si="33">D513+D515</f>
        <v>80000000</v>
      </c>
      <c r="E516" s="7">
        <f t="shared" si="33"/>
        <v>84000000</v>
      </c>
      <c r="F516" s="7">
        <f t="shared" si="33"/>
        <v>108000000</v>
      </c>
      <c r="G516" s="2"/>
    </row>
    <row r="517" spans="2:10">
      <c r="B517" s="2" t="s">
        <v>11</v>
      </c>
      <c r="C517" s="2">
        <v>7000</v>
      </c>
      <c r="D517" s="2">
        <v>7000</v>
      </c>
      <c r="E517" s="2">
        <v>7000</v>
      </c>
      <c r="F517" s="2">
        <v>7000</v>
      </c>
      <c r="G517" s="2"/>
    </row>
    <row r="518" spans="2:10">
      <c r="B518" s="2" t="s">
        <v>9</v>
      </c>
      <c r="C518" s="8">
        <f>C517*C508</f>
        <v>35000000</v>
      </c>
      <c r="D518" s="8">
        <f t="shared" ref="D518:F518" si="34">D517*D508</f>
        <v>35000000</v>
      </c>
      <c r="E518" s="8">
        <f t="shared" si="34"/>
        <v>35000000</v>
      </c>
      <c r="F518" s="8">
        <f t="shared" si="34"/>
        <v>35000000</v>
      </c>
      <c r="G518" s="2"/>
    </row>
    <row r="519" spans="2:10">
      <c r="B519" s="2" t="s">
        <v>10</v>
      </c>
      <c r="C519" s="2">
        <f>C516-C518</f>
        <v>45000000</v>
      </c>
      <c r="D519" s="2">
        <f t="shared" ref="D519:F519" si="35">D516-D518</f>
        <v>45000000</v>
      </c>
      <c r="E519" s="2">
        <f t="shared" si="35"/>
        <v>49000000</v>
      </c>
      <c r="F519" s="6">
        <f t="shared" si="35"/>
        <v>73000000</v>
      </c>
      <c r="G519" s="2"/>
    </row>
    <row r="520" spans="2:10">
      <c r="B520" s="2" t="s">
        <v>14</v>
      </c>
      <c r="C520" s="2"/>
      <c r="D520" s="2"/>
      <c r="E520" s="2"/>
      <c r="F520" s="5">
        <v>0.1</v>
      </c>
      <c r="G520" s="2"/>
    </row>
    <row r="521" spans="2:10">
      <c r="B521" s="2" t="s">
        <v>15</v>
      </c>
      <c r="C521" s="2"/>
      <c r="D521" s="2"/>
      <c r="E521" s="2"/>
      <c r="F521" s="2">
        <f>F519/F520</f>
        <v>730000000</v>
      </c>
      <c r="G521" s="2"/>
    </row>
    <row r="522" spans="2:10">
      <c r="B522" s="2" t="s">
        <v>16</v>
      </c>
      <c r="C522" s="5">
        <v>0.16</v>
      </c>
      <c r="D522" s="5">
        <v>0.16</v>
      </c>
      <c r="E522" s="5">
        <v>0.16</v>
      </c>
      <c r="F522" s="5">
        <v>0.16</v>
      </c>
      <c r="G522" s="2"/>
    </row>
    <row r="523" spans="2:10">
      <c r="B523" s="2" t="s">
        <v>17</v>
      </c>
      <c r="C523" s="2">
        <f>C519/(1+C522)^C507</f>
        <v>38793103.448275864</v>
      </c>
      <c r="D523" s="2">
        <f>D519/(1+D522)^D507</f>
        <v>33442330.558858503</v>
      </c>
      <c r="E523" s="2">
        <f>E519/(1+E522)^E507</f>
        <v>31392226.003526185</v>
      </c>
      <c r="F523" s="9">
        <f>F521/(1+F522)^E507</f>
        <v>467680101.68518597</v>
      </c>
      <c r="G523" s="82">
        <f>ROUND(C523+D523+E523+F523,-6)</f>
        <v>571000000</v>
      </c>
    </row>
    <row r="525" spans="2:10" ht="19.5" thickBot="1"/>
    <row r="526" spans="2:10" ht="60.75" customHeight="1" thickBot="1">
      <c r="B526" s="145" t="s">
        <v>615</v>
      </c>
      <c r="C526" s="146"/>
      <c r="D526" s="146"/>
      <c r="E526" s="146"/>
      <c r="F526" s="146"/>
      <c r="G526" s="146"/>
      <c r="H526" s="146"/>
      <c r="I526" s="146"/>
      <c r="J526" s="147"/>
    </row>
    <row r="528" spans="2:10">
      <c r="B528" s="2" t="s">
        <v>19</v>
      </c>
      <c r="C528" s="2">
        <v>40000000</v>
      </c>
    </row>
    <row r="529" spans="2:3">
      <c r="B529" s="2" t="s">
        <v>49</v>
      </c>
      <c r="C529" s="2">
        <v>36000000</v>
      </c>
    </row>
    <row r="530" spans="2:3">
      <c r="B530" s="2" t="s">
        <v>55</v>
      </c>
      <c r="C530" s="2">
        <v>24000000</v>
      </c>
    </row>
    <row r="531" spans="2:3">
      <c r="B531" s="2" t="s">
        <v>616</v>
      </c>
      <c r="C531" s="95">
        <v>0.12</v>
      </c>
    </row>
    <row r="532" spans="2:3">
      <c r="B532" s="2" t="s">
        <v>605</v>
      </c>
      <c r="C532" s="95">
        <v>0.1</v>
      </c>
    </row>
    <row r="533" spans="2:3">
      <c r="B533" s="14" t="s">
        <v>35</v>
      </c>
      <c r="C533" s="2"/>
    </row>
    <row r="534" spans="2:3">
      <c r="B534" s="2" t="s">
        <v>53</v>
      </c>
      <c r="C534" s="82">
        <f>C530/C532</f>
        <v>240000000</v>
      </c>
    </row>
  </sheetData>
  <mergeCells count="33">
    <mergeCell ref="B526:J526"/>
    <mergeCell ref="B454:J454"/>
    <mergeCell ref="B475:J475"/>
    <mergeCell ref="B492:J492"/>
    <mergeCell ref="B505:J505"/>
    <mergeCell ref="B393:J393"/>
    <mergeCell ref="B404:J404"/>
    <mergeCell ref="B418:J418"/>
    <mergeCell ref="B433:J433"/>
    <mergeCell ref="B445:J445"/>
    <mergeCell ref="B355:J355"/>
    <mergeCell ref="B374:J374"/>
    <mergeCell ref="B112:J112"/>
    <mergeCell ref="B192:J192"/>
    <mergeCell ref="B2:J2"/>
    <mergeCell ref="B9:J9"/>
    <mergeCell ref="B47:J47"/>
    <mergeCell ref="B68:J68"/>
    <mergeCell ref="B102:J102"/>
    <mergeCell ref="B143:J143"/>
    <mergeCell ref="B153:J153"/>
    <mergeCell ref="B166:J166"/>
    <mergeCell ref="B179:J179"/>
    <mergeCell ref="B214:J214"/>
    <mergeCell ref="B83:J83"/>
    <mergeCell ref="B319:J319"/>
    <mergeCell ref="B25:J25"/>
    <mergeCell ref="B272:J272"/>
    <mergeCell ref="B292:J292"/>
    <mergeCell ref="B227:J227"/>
    <mergeCell ref="B238:J238"/>
    <mergeCell ref="B248:J248"/>
    <mergeCell ref="B258:J258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Титульный</vt:lpstr>
      <vt:lpstr>Лайфхаки</vt:lpstr>
      <vt:lpstr>Сочетания клавиш</vt:lpstr>
      <vt:lpstr>Затратный</vt:lpstr>
      <vt:lpstr>Сравнительный</vt:lpstr>
      <vt:lpstr>Доходный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Зумберг</dc:creator>
  <cp:lastModifiedBy>Алексей Зумберг</cp:lastModifiedBy>
  <dcterms:created xsi:type="dcterms:W3CDTF">2021-01-25T11:27:32Z</dcterms:created>
  <dcterms:modified xsi:type="dcterms:W3CDTF">2024-01-30T10:11:06Z</dcterms:modified>
</cp:coreProperties>
</file>